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50.xml" ContentType="application/vnd.openxmlformats-officedocument.drawingml.chart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yCarter\CeriFi BionicTurtle Dropbox\Clay Carter\bt-collaboration\Clay\XLS Updates\P1-Topic 2\T2-QA1_to_QA3-stat1\"/>
    </mc:Choice>
  </mc:AlternateContent>
  <xr:revisionPtr revIDLastSave="0" documentId="13_ncr:1_{151E1998-D34D-4282-8C43-5DD53965609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Table of Contents" sheetId="77" r:id="rId1"/>
    <sheet name="QA1 Slide 4" sheetId="30" r:id="rId2"/>
    <sheet name="Ex 2.3" sheetId="23" r:id="rId3"/>
    <sheet name="QA1 Slide 6" sheetId="31" r:id="rId4"/>
    <sheet name="QA1 Slide 7" sheetId="32" r:id="rId5"/>
    <sheet name="QA1 Slide 13 " sheetId="33" r:id="rId6"/>
    <sheet name="QA1 Slide 14 based on this" sheetId="34" r:id="rId7"/>
    <sheet name="QA1 Slide 17" sheetId="35" r:id="rId8"/>
    <sheet name="QA 1 Slide 19" sheetId="36" r:id="rId9"/>
    <sheet name="8.2. Bayes Theorem p41" sheetId="8" r:id="rId10"/>
    <sheet name="8.2 Bayes Theorem  p43" sheetId="9" r:id="rId11"/>
    <sheet name="20.1.1" sheetId="29" r:id="rId12"/>
    <sheet name="20.1.2" sheetId="28" r:id="rId13"/>
    <sheet name="20.2.3" sheetId="64" r:id="rId14"/>
    <sheet name="709.1" sheetId="66" r:id="rId15"/>
    <sheet name="709.2" sheetId="67" r:id="rId16"/>
    <sheet name="709.3" sheetId="65" r:id="rId17"/>
    <sheet name="301.1" sheetId="68" r:id="rId18"/>
    <sheet name="QA2 Slide 3" sheetId="37" r:id="rId19"/>
    <sheet name="QA2 Slide 4" sheetId="38" r:id="rId20"/>
    <sheet name="QA2 Slide 6a" sheetId="39" r:id="rId21"/>
    <sheet name="QA2 Slide 6b" sheetId="40" r:id="rId22"/>
    <sheet name="QA2 Slide 7a" sheetId="41" r:id="rId23"/>
    <sheet name="QA2 Slide 7b" sheetId="42" r:id="rId24"/>
    <sheet name="QA2 Slide 8a" sheetId="43" r:id="rId25"/>
    <sheet name="QA2 Slide 8b" sheetId="44" r:id="rId26"/>
    <sheet name="QA2 Slide 10" sheetId="46" r:id="rId27"/>
    <sheet name="QA2 Slide 11" sheetId="47" r:id="rId28"/>
    <sheet name="QA2 Slide 12 " sheetId="48" r:id="rId29"/>
    <sheet name="QA2 Slide 15" sheetId="49" r:id="rId30"/>
    <sheet name="20.4.1" sheetId="70" r:id="rId31"/>
    <sheet name="20.40.3" sheetId="69" r:id="rId32"/>
    <sheet name="710.1" sheetId="71" r:id="rId33"/>
    <sheet name="710.2" sheetId="72" r:id="rId34"/>
    <sheet name="712-1-skew" sheetId="73" r:id="rId35"/>
    <sheet name="QA3-binomial" sheetId="50" r:id="rId36"/>
    <sheet name="QA3-binomial-tree" sheetId="51" r:id="rId37"/>
    <sheet name="QA3-Poisson" sheetId="52" r:id="rId38"/>
    <sheet name="QA3-normal_" sheetId="53" r:id="rId39"/>
    <sheet name="QA3-lognormal" sheetId="54" r:id="rId40"/>
    <sheet name="QA3-chi^2" sheetId="55" r:id="rId41"/>
    <sheet name="QA3-students-t" sheetId="56" r:id="rId42"/>
    <sheet name="QA3-F-distr" sheetId="57" r:id="rId43"/>
    <sheet name="QA3-triangular" sheetId="58" r:id="rId44"/>
    <sheet name="QA3-beta" sheetId="59" r:id="rId45"/>
    <sheet name="QA3-normal-mixture" sheetId="60" r:id="rId46"/>
    <sheet name="QA3-Normal_binomial_Poisson" sheetId="61" r:id="rId47"/>
    <sheet name="BT20.5.1" sheetId="62" r:id="rId48"/>
    <sheet name="BT20.5.2" sheetId="63" r:id="rId49"/>
    <sheet name="20.6.1." sheetId="74" r:id="rId50"/>
    <sheet name="20.7.2" sheetId="76" r:id="rId51"/>
    <sheet name="20.7.3." sheetId="75" r:id="rId52"/>
    <sheet name="arch" sheetId="24" r:id="rId53"/>
    <sheet name="pdf_CDF_source" sheetId="26" r:id="rId54"/>
    <sheet name="319.2 (2)" sheetId="22" r:id="rId55"/>
    <sheet name="319.1" sheetId="21" r:id="rId56"/>
    <sheet name="319.2" sheetId="20" r:id="rId57"/>
    <sheet name="8.2. Standard Normal pdf CDF" sheetId="2" r:id="rId58"/>
    <sheet name="8.2 Discrete Probabilities" sheetId="18" r:id="rId59"/>
    <sheet name="8.2 Probability Matrix" sheetId="1" r:id="rId60"/>
    <sheet name="8.2 Bayes Theorem p37-38" sheetId="11" r:id="rId61"/>
    <sheet name="302.2" sheetId="12" r:id="rId62"/>
    <sheet name="302.3" sheetId="13" r:id="rId63"/>
    <sheet name="interpolate" sheetId="19" r:id="rId64"/>
  </sheets>
  <externalReferences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__INDEX_SHEET___ASAP_Utilities">#REF!</definedName>
    <definedName name="_1_day_GARCH" localSheetId="30">#REF!</definedName>
    <definedName name="_1_day_GARCH" localSheetId="31">#REF!</definedName>
    <definedName name="_1_day_GARCH" localSheetId="49">#REF!</definedName>
    <definedName name="_1_day_GARCH" localSheetId="50">#REF!</definedName>
    <definedName name="_1_day_GARCH" localSheetId="51">#REF!</definedName>
    <definedName name="_1_day_GARCH" localSheetId="47">#REF!</definedName>
    <definedName name="_1_day_GARCH" localSheetId="48">#REF!</definedName>
    <definedName name="_1_day_GARCH" localSheetId="36">#REF!</definedName>
    <definedName name="_1_day_GARCH">#REF!</definedName>
    <definedName name="_1_day_RiskMetrics" localSheetId="30">#REF!</definedName>
    <definedName name="_1_day_RiskMetrics" localSheetId="31">#REF!</definedName>
    <definedName name="_1_day_RiskMetrics" localSheetId="49">#REF!</definedName>
    <definedName name="_1_day_RiskMetrics" localSheetId="50">#REF!</definedName>
    <definedName name="_1_day_RiskMetrics" localSheetId="51">#REF!</definedName>
    <definedName name="_1_day_RiskMetrics" localSheetId="47">#REF!</definedName>
    <definedName name="_1_day_RiskMetrics" localSheetId="48">#REF!</definedName>
    <definedName name="_1_day_RiskMetrics" localSheetId="36">#REF!</definedName>
    <definedName name="_1_day_RiskMetrics">#REF!</definedName>
    <definedName name="_25_day_GARCH" localSheetId="30">#REF!</definedName>
    <definedName name="_25_day_GARCH" localSheetId="31">#REF!</definedName>
    <definedName name="_25_day_GARCH" localSheetId="49">#REF!</definedName>
    <definedName name="_25_day_GARCH" localSheetId="50">#REF!</definedName>
    <definedName name="_25_day_GARCH" localSheetId="51">#REF!</definedName>
    <definedName name="_25_day_GARCH" localSheetId="47">#REF!</definedName>
    <definedName name="_25_day_GARCH" localSheetId="48">#REF!</definedName>
    <definedName name="_25_day_GARCH" localSheetId="36">#REF!</definedName>
    <definedName name="_25_day_GARCH">#REF!</definedName>
    <definedName name="_25_day_historic" localSheetId="30">#REF!</definedName>
    <definedName name="_25_day_historic" localSheetId="31">#REF!</definedName>
    <definedName name="_25_day_historic" localSheetId="49">#REF!</definedName>
    <definedName name="_25_day_historic" localSheetId="50">#REF!</definedName>
    <definedName name="_25_day_historic" localSheetId="51">#REF!</definedName>
    <definedName name="_25_day_historic" localSheetId="47">#REF!</definedName>
    <definedName name="_25_day_historic" localSheetId="48">#REF!</definedName>
    <definedName name="_25_day_historic" localSheetId="36">#REF!</definedName>
    <definedName name="_25_day_historic">#REF!</definedName>
    <definedName name="_25_day_RiskMetrics" localSheetId="30">#REF!</definedName>
    <definedName name="_25_day_RiskMetrics" localSheetId="31">#REF!</definedName>
    <definedName name="_25_day_RiskMetrics" localSheetId="49">#REF!</definedName>
    <definedName name="_25_day_RiskMetrics" localSheetId="50">#REF!</definedName>
    <definedName name="_25_day_RiskMetrics" localSheetId="51">#REF!</definedName>
    <definedName name="_25_day_RiskMetrics" localSheetId="47">#REF!</definedName>
    <definedName name="_25_day_RiskMetrics" localSheetId="48">#REF!</definedName>
    <definedName name="_25_day_RiskMetrics" localSheetId="36">#REF!</definedName>
    <definedName name="_25_day_RiskMetrics">#REF!</definedName>
    <definedName name="_a1">'[1]706.2'!$D$5</definedName>
    <definedName name="_a2">'[1]706.2'!$E$5</definedName>
    <definedName name="_F">'[1]706.2'!$D$6</definedName>
    <definedName name="_n" localSheetId="13">'[2]student''s t'!$E$13:$Q$13</definedName>
    <definedName name="_n">'[3]student''s t'!$E$13:$Q$13</definedName>
    <definedName name="_r" localSheetId="30">#REF!</definedName>
    <definedName name="_r" localSheetId="31">#REF!</definedName>
    <definedName name="_r" localSheetId="49">#REF!</definedName>
    <definedName name="_r" localSheetId="50">#REF!</definedName>
    <definedName name="_r" localSheetId="51">#REF!</definedName>
    <definedName name="_r" localSheetId="47">#REF!</definedName>
    <definedName name="_r" localSheetId="48">#REF!</definedName>
    <definedName name="_r" localSheetId="36">#REF!</definedName>
    <definedName name="_r">#REF!</definedName>
    <definedName name="alpha">'[4]2d.1 GARCH_1_1'!$D$4</definedName>
    <definedName name="as_b1" localSheetId="36">'[5]M. normal CDF'!$D$5</definedName>
    <definedName name="as_b1">'[6]M. normal CDF'!$D$5</definedName>
    <definedName name="as_b2" localSheetId="36">'[5]M. normal CDF'!$D$6</definedName>
    <definedName name="as_b2">'[6]M. normal CDF'!$D$6</definedName>
    <definedName name="as_b3" localSheetId="36">'[5]M. normal CDF'!$D$7</definedName>
    <definedName name="as_b3">'[6]M. normal CDF'!$D$7</definedName>
    <definedName name="as_b4" localSheetId="36">'[5]M. normal CDF'!$D$8</definedName>
    <definedName name="as_b4">'[6]M. normal CDF'!$D$8</definedName>
    <definedName name="as_b5" localSheetId="36">'[5]M. normal CDF'!$D$9</definedName>
    <definedName name="as_b5">'[6]M. normal CDF'!$D$9</definedName>
    <definedName name="as_c" localSheetId="36">'[5]M. normal CDF'!$D$11</definedName>
    <definedName name="as_c">'[6]M. normal CDF'!$D$11</definedName>
    <definedName name="as_p" localSheetId="36">'[5]M. normal CDF'!$D$10</definedName>
    <definedName name="as_p">'[6]M. normal CDF'!$D$10</definedName>
    <definedName name="auto_rho">'[7]4a.1 2AssetVaR'!$D$18</definedName>
    <definedName name="Bernoulli_p" localSheetId="36">'[5]M. uniform &gt; Bernouilli'!$E$3</definedName>
    <definedName name="Bernoulli_p">'[6]M. uniform &gt; Bernouilli'!$E$3</definedName>
    <definedName name="beta">'[4]2d.1 GARCH_1_1'!$D$5</definedName>
    <definedName name="bond_compute_handler" localSheetId="34">'712-1-skew'!bond_compute_handler</definedName>
    <definedName name="bond_compute_handler">[8]!bond_compute_handler</definedName>
    <definedName name="Bond_Display_Tree" localSheetId="34">'712-1-skew'!Bond_Display_Tree</definedName>
    <definedName name="Bond_Display_Tree">[8]!Bond_Display_Tree</definedName>
    <definedName name="bond_graph_handler" localSheetId="34">'712-1-skew'!bond_graph_handler</definedName>
    <definedName name="bond_graph_handler">[8]!bond_graph_handler</definedName>
    <definedName name="bond_graph_input_formatter" localSheetId="34">'712-1-skew'!bond_graph_input_formatter</definedName>
    <definedName name="bond_graph_input_formatter">[8]!bond_graph_input_formatter</definedName>
    <definedName name="Bond_Label_Bottom" localSheetId="30">#REF!</definedName>
    <definedName name="Bond_Label_Bottom" localSheetId="31">#REF!</definedName>
    <definedName name="Bond_Label_Bottom" localSheetId="49">#REF!</definedName>
    <definedName name="Bond_Label_Bottom" localSheetId="50">#REF!</definedName>
    <definedName name="Bond_Label_Bottom" localSheetId="51">#REF!</definedName>
    <definedName name="Bond_Label_Bottom" localSheetId="47">#REF!</definedName>
    <definedName name="Bond_Label_Bottom" localSheetId="48">#REF!</definedName>
    <definedName name="Bond_Label_Bottom" localSheetId="36">#REF!</definedName>
    <definedName name="Bond_Label_Bottom">#REF!</definedName>
    <definedName name="Bond_Label_Top" localSheetId="30">#REF!</definedName>
    <definedName name="Bond_Label_Top" localSheetId="31">#REF!</definedName>
    <definedName name="Bond_Label_Top" localSheetId="49">#REF!</definedName>
    <definedName name="Bond_Label_Top" localSheetId="50">#REF!</definedName>
    <definedName name="Bond_Label_Top" localSheetId="51">#REF!</definedName>
    <definedName name="Bond_Label_Top" localSheetId="47">#REF!</definedName>
    <definedName name="Bond_Label_Top" localSheetId="48">#REF!</definedName>
    <definedName name="Bond_Label_Top" localSheetId="36">#REF!</definedName>
    <definedName name="Bond_Label_Top">#REF!</definedName>
    <definedName name="Bond_Maximum_X" localSheetId="30">#REF!</definedName>
    <definedName name="Bond_Maximum_X" localSheetId="31">#REF!</definedName>
    <definedName name="Bond_Maximum_X" localSheetId="49">#REF!</definedName>
    <definedName name="Bond_Maximum_X" localSheetId="50">#REF!</definedName>
    <definedName name="Bond_Maximum_X" localSheetId="51">#REF!</definedName>
    <definedName name="Bond_Maximum_X" localSheetId="47">#REF!</definedName>
    <definedName name="Bond_Maximum_X" localSheetId="48">#REF!</definedName>
    <definedName name="Bond_Maximum_X" localSheetId="36">#REF!</definedName>
    <definedName name="Bond_Maximum_X">#REF!</definedName>
    <definedName name="Bond_Minimum_X" localSheetId="30">#REF!</definedName>
    <definedName name="Bond_Minimum_X" localSheetId="31">#REF!</definedName>
    <definedName name="Bond_Minimum_X" localSheetId="49">#REF!</definedName>
    <definedName name="Bond_Minimum_X" localSheetId="50">#REF!</definedName>
    <definedName name="Bond_Minimum_X" localSheetId="51">#REF!</definedName>
    <definedName name="Bond_Minimum_X" localSheetId="47">#REF!</definedName>
    <definedName name="Bond_Minimum_X" localSheetId="48">#REF!</definedName>
    <definedName name="Bond_Minimum_X" localSheetId="36">#REF!</definedName>
    <definedName name="Bond_Minimum_X">#REF!</definedName>
    <definedName name="Bond_Option_Label_Bottom" localSheetId="30">#REF!</definedName>
    <definedName name="Bond_Option_Label_Bottom" localSheetId="31">#REF!</definedName>
    <definedName name="Bond_Option_Label_Bottom" localSheetId="49">#REF!</definedName>
    <definedName name="Bond_Option_Label_Bottom" localSheetId="50">#REF!</definedName>
    <definedName name="Bond_Option_Label_Bottom" localSheetId="51">#REF!</definedName>
    <definedName name="Bond_Option_Label_Bottom" localSheetId="47">#REF!</definedName>
    <definedName name="Bond_Option_Label_Bottom" localSheetId="48">#REF!</definedName>
    <definedName name="Bond_Option_Label_Bottom" localSheetId="36">#REF!</definedName>
    <definedName name="Bond_Option_Label_Bottom">#REF!</definedName>
    <definedName name="Bond_Option_Label_Top" localSheetId="30">#REF!</definedName>
    <definedName name="Bond_Option_Label_Top" localSheetId="31">#REF!</definedName>
    <definedName name="Bond_Option_Label_Top" localSheetId="49">#REF!</definedName>
    <definedName name="Bond_Option_Label_Top" localSheetId="50">#REF!</definedName>
    <definedName name="Bond_Option_Label_Top" localSheetId="51">#REF!</definedName>
    <definedName name="Bond_Option_Label_Top" localSheetId="47">#REF!</definedName>
    <definedName name="Bond_Option_Label_Top" localSheetId="48">#REF!</definedName>
    <definedName name="Bond_Option_Label_Top" localSheetId="36">#REF!</definedName>
    <definedName name="Bond_Option_Label_Top">#REF!</definedName>
    <definedName name="Bond_Option_Select" localSheetId="34">'712-1-skew'!Bond_Option_Select</definedName>
    <definedName name="Bond_Option_Select">[8]!Bond_Option_Select</definedName>
    <definedName name="Bopt_DV01" localSheetId="30">#REF!</definedName>
    <definedName name="Bopt_DV01" localSheetId="31">#REF!</definedName>
    <definedName name="Bopt_DV01" localSheetId="49">#REF!</definedName>
    <definedName name="Bopt_DV01" localSheetId="50">#REF!</definedName>
    <definedName name="Bopt_DV01" localSheetId="51">#REF!</definedName>
    <definedName name="Bopt_DV01" localSheetId="47">#REF!</definedName>
    <definedName name="Bopt_DV01" localSheetId="48">#REF!</definedName>
    <definedName name="Bopt_DV01" localSheetId="36">#REF!</definedName>
    <definedName name="Bopt_DV01">#REF!</definedName>
    <definedName name="Bopt_Gamma01" localSheetId="30">#REF!</definedName>
    <definedName name="Bopt_Gamma01" localSheetId="31">#REF!</definedName>
    <definedName name="Bopt_Gamma01" localSheetId="49">#REF!</definedName>
    <definedName name="Bopt_Gamma01" localSheetId="50">#REF!</definedName>
    <definedName name="Bopt_Gamma01" localSheetId="51">#REF!</definedName>
    <definedName name="Bopt_Gamma01" localSheetId="47">#REF!</definedName>
    <definedName name="Bopt_Gamma01" localSheetId="48">#REF!</definedName>
    <definedName name="Bopt_Gamma01" localSheetId="36">#REF!</definedName>
    <definedName name="Bopt_Gamma01">#REF!</definedName>
    <definedName name="Bopt_price" localSheetId="30">#REF!</definedName>
    <definedName name="Bopt_price" localSheetId="31">#REF!</definedName>
    <definedName name="Bopt_price" localSheetId="49">#REF!</definedName>
    <definedName name="Bopt_price" localSheetId="50">#REF!</definedName>
    <definedName name="Bopt_price" localSheetId="51">#REF!</definedName>
    <definedName name="Bopt_price" localSheetId="47">#REF!</definedName>
    <definedName name="Bopt_price" localSheetId="48">#REF!</definedName>
    <definedName name="Bopt_price" localSheetId="36">#REF!</definedName>
    <definedName name="Bopt_price">#REF!</definedName>
    <definedName name="Bopt_Vega" localSheetId="30">#REF!</definedName>
    <definedName name="Bopt_Vega" localSheetId="31">#REF!</definedName>
    <definedName name="Bopt_Vega" localSheetId="49">#REF!</definedName>
    <definedName name="Bopt_Vega" localSheetId="50">#REF!</definedName>
    <definedName name="Bopt_Vega" localSheetId="51">#REF!</definedName>
    <definedName name="Bopt_Vega" localSheetId="47">#REF!</definedName>
    <definedName name="Bopt_Vega" localSheetId="48">#REF!</definedName>
    <definedName name="Bopt_Vega" localSheetId="36">#REF!</definedName>
    <definedName name="Bopt_Vega">#REF!</definedName>
    <definedName name="Bopt_volatility" localSheetId="30">#REF!</definedName>
    <definedName name="Bopt_volatility" localSheetId="31">#REF!</definedName>
    <definedName name="Bopt_volatility" localSheetId="49">#REF!</definedName>
    <definedName name="Bopt_volatility" localSheetId="50">#REF!</definedName>
    <definedName name="Bopt_volatility" localSheetId="51">#REF!</definedName>
    <definedName name="Bopt_volatility" localSheetId="47">#REF!</definedName>
    <definedName name="Bopt_volatility" localSheetId="48">#REF!</definedName>
    <definedName name="Bopt_volatility" localSheetId="36">#REF!</definedName>
    <definedName name="Bopt_volatility">#REF!</definedName>
    <definedName name="bs" localSheetId="30">'[9]Black-Scholes'!#REF!</definedName>
    <definedName name="bs" localSheetId="51">'[9]Black-Scholes'!#REF!</definedName>
    <definedName name="bs" localSheetId="48">'[9]Black-Scholes'!#REF!</definedName>
    <definedName name="bs" localSheetId="36">'[9]Black-Scholes'!#REF!</definedName>
    <definedName name="bs">'[9]Black-Scholes'!#REF!</definedName>
    <definedName name="Cap_or_Swap_Option_Select" localSheetId="34">'712-1-skew'!Cap_or_Swap_Option_Select</definedName>
    <definedName name="Cap_or_Swap_Option_Select">[8]!Cap_or_Swap_Option_Select</definedName>
    <definedName name="Cap_or_Swap_Select" localSheetId="34">'712-1-skew'!Cap_or_Swap_Select</definedName>
    <definedName name="Cap_or_Swap_Select">[8]!Cap_or_Swap_Select</definedName>
    <definedName name="chi_test" localSheetId="13">'[10]2a.3 SampleDists (chi^2)'!$E$9</definedName>
    <definedName name="chi_test" localSheetId="36">'[5]2a.3 SampleDists (chi^2)'!$E$9</definedName>
    <definedName name="chi_test">'[11]2a.3 SampleDists (chi^2)'!$E$9</definedName>
    <definedName name="conf">[12]Jorion_Ch6_JPMorganExceptions!$C$7</definedName>
    <definedName name="confidence">'[7]4a.1 2AssetVaR'!$D$6</definedName>
    <definedName name="correlation" localSheetId="30">#REF!</definedName>
    <definedName name="correlation" localSheetId="31">#REF!</definedName>
    <definedName name="correlation" localSheetId="49">#REF!</definedName>
    <definedName name="correlation" localSheetId="50">#REF!</definedName>
    <definedName name="correlation" localSheetId="51">#REF!</definedName>
    <definedName name="correlation" localSheetId="47">#REF!</definedName>
    <definedName name="correlation" localSheetId="48">#REF!</definedName>
    <definedName name="correlation" localSheetId="44">#REF!</definedName>
    <definedName name="correlation" localSheetId="36">#REF!</definedName>
    <definedName name="correlation" localSheetId="40">#REF!</definedName>
    <definedName name="correlation" localSheetId="42">#REF!</definedName>
    <definedName name="correlation" localSheetId="39">#REF!</definedName>
    <definedName name="correlation" localSheetId="38">#REF!</definedName>
    <definedName name="correlation" localSheetId="45">#REF!</definedName>
    <definedName name="correlation" localSheetId="37">#REF!</definedName>
    <definedName name="correlation" localSheetId="41">#REF!</definedName>
    <definedName name="correlation" localSheetId="43">#REF!</definedName>
    <definedName name="correlation">#REF!</definedName>
    <definedName name="correlation_" localSheetId="30">#REF!</definedName>
    <definedName name="correlation_" localSheetId="31">#REF!</definedName>
    <definedName name="correlation_" localSheetId="49">#REF!</definedName>
    <definedName name="correlation_" localSheetId="50">#REF!</definedName>
    <definedName name="correlation_" localSheetId="51">#REF!</definedName>
    <definedName name="correlation_" localSheetId="47">#REF!</definedName>
    <definedName name="correlation_" localSheetId="48">#REF!</definedName>
    <definedName name="correlation_" localSheetId="44">#REF!</definedName>
    <definedName name="correlation_" localSheetId="36">#REF!</definedName>
    <definedName name="correlation_" localSheetId="40">#REF!</definedName>
    <definedName name="correlation_" localSheetId="42">#REF!</definedName>
    <definedName name="correlation_" localSheetId="39">#REF!</definedName>
    <definedName name="correlation_" localSheetId="38">#REF!</definedName>
    <definedName name="correlation_" localSheetId="45">#REF!</definedName>
    <definedName name="correlation_" localSheetId="37">#REF!</definedName>
    <definedName name="correlation_" localSheetId="41">#REF!</definedName>
    <definedName name="correlation_" localSheetId="43">#REF!</definedName>
    <definedName name="correlation_">#REF!</definedName>
    <definedName name="Correlation1" localSheetId="30">#REF!</definedName>
    <definedName name="Correlation1" localSheetId="31">#REF!</definedName>
    <definedName name="Correlation1" localSheetId="49">#REF!</definedName>
    <definedName name="Correlation1" localSheetId="50">#REF!</definedName>
    <definedName name="Correlation1" localSheetId="51">#REF!</definedName>
    <definedName name="Correlation1" localSheetId="32">#REF!</definedName>
    <definedName name="Correlation1" localSheetId="33">#REF!</definedName>
    <definedName name="Correlation1" localSheetId="47">#REF!</definedName>
    <definedName name="Correlation1" localSheetId="48">#REF!</definedName>
    <definedName name="Correlation1" localSheetId="36">#REF!</definedName>
    <definedName name="Correlation1">#REF!</definedName>
    <definedName name="CORRMAT">[13]Correlations!$B$7:$I$14</definedName>
    <definedName name="date">'[14]A-GARCH(1,1)'!$A$1:$A$3679</definedName>
    <definedName name="days" localSheetId="30">#REF!</definedName>
    <definedName name="days" localSheetId="31">#REF!</definedName>
    <definedName name="days" localSheetId="49">#REF!</definedName>
    <definedName name="days" localSheetId="50">#REF!</definedName>
    <definedName name="days" localSheetId="51">#REF!</definedName>
    <definedName name="days" localSheetId="47">#REF!</definedName>
    <definedName name="days" localSheetId="48">#REF!</definedName>
    <definedName name="days" localSheetId="36">#REF!</definedName>
    <definedName name="days">#REF!</definedName>
    <definedName name="delta" localSheetId="30">'[15]2.1b'!#REF!</definedName>
    <definedName name="delta" localSheetId="31">'[15]2.1b'!#REF!</definedName>
    <definedName name="delta" localSheetId="50">'[15]2.1b'!#REF!</definedName>
    <definedName name="delta" localSheetId="51">'[15]2.1b'!#REF!</definedName>
    <definedName name="delta" localSheetId="48">'[15]2.1b'!#REF!</definedName>
    <definedName name="delta" localSheetId="36">'[15]2.1b'!#REF!</definedName>
    <definedName name="delta">'[15]2.1b'!#REF!</definedName>
    <definedName name="deviate">'[16]7a.2 LVaR_v2 (deviate)'!$D$9:$J$9</definedName>
    <definedName name="df" localSheetId="13">'[10]2a.3 SampleDists (chi^2)'!$E$7</definedName>
    <definedName name="df" localSheetId="36">'[5]2a.3 SampleDists (chi^2)'!$E$7</definedName>
    <definedName name="df">'[11]2a.3 SampleDists (chi^2)'!$E$7</definedName>
    <definedName name="df_" localSheetId="13">'[10]2a.3. SampleDists (t)'!$E$14:$R$14</definedName>
    <definedName name="df_" localSheetId="36">'[5]2a.3. SampleDists (t)'!$E$14:$R$14</definedName>
    <definedName name="df_">'[11]2a.3. SampleDists (t)'!$E$14:$R$14</definedName>
    <definedName name="direct_France">'[14]A-GARCH(1,1)'!$J$1:$J$3679</definedName>
    <definedName name="down" localSheetId="36">'QA3-binomial-tree'!$B$6</definedName>
    <definedName name="down">'[6]309.2'!$B$5</definedName>
    <definedName name="Equity_compute_handler" localSheetId="34">'712-1-skew'!Equity_compute_handler</definedName>
    <definedName name="Equity_compute_handler">[8]!Equity_compute_handler</definedName>
    <definedName name="Equity_Display_Tree" localSheetId="34">'712-1-skew'!Equity_Display_Tree</definedName>
    <definedName name="Equity_Display_Tree">[8]!Equity_Display_Tree</definedName>
    <definedName name="Equity_graph_handler" localSheetId="34">'712-1-skew'!Equity_graph_handler</definedName>
    <definedName name="Equity_graph_handler">[8]!Equity_graph_handler</definedName>
    <definedName name="Equity_graph_input_formatter" localSheetId="34">'712-1-skew'!Equity_graph_input_formatter</definedName>
    <definedName name="Equity_graph_input_formatter">[8]!Equity_graph_input_formatter</definedName>
    <definedName name="Equity_Option_Select" localSheetId="34">'712-1-skew'!Equity_Option_Select</definedName>
    <definedName name="Equity_Option_Select">[8]!Equity_Option_Select</definedName>
    <definedName name="Equity_Underlying_Select" localSheetId="34">'712-1-skew'!Equity_Underlying_Select</definedName>
    <definedName name="Equity_Underlying_Select">[8]!Equity_Underlying_Select</definedName>
    <definedName name="Expiry" localSheetId="30">'[15]2.1b'!#REF!</definedName>
    <definedName name="Expiry" localSheetId="31">'[15]2.1b'!#REF!</definedName>
    <definedName name="Expiry" localSheetId="49">'[15]2.1b'!#REF!</definedName>
    <definedName name="Expiry" localSheetId="50">'[15]2.1b'!#REF!</definedName>
    <definedName name="Expiry" localSheetId="51">'[15]2.1b'!#REF!</definedName>
    <definedName name="Expiry" localSheetId="48">'[15]2.1b'!#REF!</definedName>
    <definedName name="Expiry" localSheetId="36">'[15]2.1b'!#REF!</definedName>
    <definedName name="Expiry">'[15]2.1b'!#REF!</definedName>
    <definedName name="face" localSheetId="30">#REF!</definedName>
    <definedName name="face" localSheetId="31">#REF!</definedName>
    <definedName name="face" localSheetId="49">#REF!</definedName>
    <definedName name="face" localSheetId="50">#REF!</definedName>
    <definedName name="face" localSheetId="51">#REF!</definedName>
    <definedName name="face" localSheetId="47">#REF!</definedName>
    <definedName name="face" localSheetId="48">#REF!</definedName>
    <definedName name="face" localSheetId="36">#REF!</definedName>
    <definedName name="face">#REF!</definedName>
    <definedName name="factor_France">'[14]A-GARCH(1,1)'!$K$1:$K$3679</definedName>
    <definedName name="gamma_sen" localSheetId="30">'[15]2.1b'!#REF!</definedName>
    <definedName name="gamma_sen" localSheetId="31">'[15]2.1b'!#REF!</definedName>
    <definedName name="gamma_sen" localSheetId="49">'[15]2.1b'!#REF!</definedName>
    <definedName name="gamma_sen" localSheetId="50">'[15]2.1b'!#REF!</definedName>
    <definedName name="gamma_sen" localSheetId="51">'[15]2.1b'!#REF!</definedName>
    <definedName name="gamma_sen" localSheetId="48">'[15]2.1b'!#REF!</definedName>
    <definedName name="gamma_sen" localSheetId="36">'[15]2.1b'!#REF!</definedName>
    <definedName name="gamma_sen">'[15]2.1b'!#REF!</definedName>
    <definedName name="GEV_scale" localSheetId="13">[17]EVT!$I$10</definedName>
    <definedName name="GEV_scale" localSheetId="32">[18]EVT!$I$10</definedName>
    <definedName name="GEV_scale" localSheetId="33">[19]EVT!$I$10</definedName>
    <definedName name="GEV_scale">[18]EVT!$I$10</definedName>
    <definedName name="GEV_tail" localSheetId="13">[17]EVT!$I$12</definedName>
    <definedName name="GEV_tail" localSheetId="32">[18]EVT!$I$12</definedName>
    <definedName name="GEV_tail" localSheetId="33">[19]EVT!$I$12</definedName>
    <definedName name="GEV_tail">[18]EVT!$I$12</definedName>
    <definedName name="GPD_scale" localSheetId="13">[20]GPD!$D$2</definedName>
    <definedName name="GPD_scale" localSheetId="32">[21]GPD!$D$2</definedName>
    <definedName name="GPD_scale" localSheetId="33">[22]GPD!$D$2</definedName>
    <definedName name="GPD_scale">[21]GPD!$D$2</definedName>
    <definedName name="GPD_tail" localSheetId="13">[20]GPD!$D$3</definedName>
    <definedName name="GPD_tail" localSheetId="32">[21]GPD!$D$3</definedName>
    <definedName name="GPD_tail" localSheetId="33">[22]GPD!$D$3</definedName>
    <definedName name="GPD_tail">[21]GPD!$D$3</definedName>
    <definedName name="h">'[7]4a.1 2AssetVaR'!$D$5</definedName>
    <definedName name="Imp_vol" localSheetId="30">'[15]2.1b'!#REF!</definedName>
    <definedName name="Imp_vol" localSheetId="31">'[15]2.1b'!#REF!</definedName>
    <definedName name="Imp_vol" localSheetId="49">'[15]2.1b'!#REF!</definedName>
    <definedName name="Imp_vol" localSheetId="50">'[15]2.1b'!#REF!</definedName>
    <definedName name="Imp_vol" localSheetId="51">'[15]2.1b'!#REF!</definedName>
    <definedName name="Imp_vol" localSheetId="48">'[15]2.1b'!#REF!</definedName>
    <definedName name="Imp_vol" localSheetId="36">'[15]2.1b'!#REF!</definedName>
    <definedName name="Imp_vol">'[15]2.1b'!#REF!</definedName>
    <definedName name="intercept">'[23]OLS Tests'!$G$5</definedName>
    <definedName name="intercept_">'[24]2011 Gujarati OLS Tests'!$G$5</definedName>
    <definedName name="K" localSheetId="30">#REF!</definedName>
    <definedName name="K" localSheetId="31">#REF!</definedName>
    <definedName name="K" localSheetId="49">#REF!</definedName>
    <definedName name="K" localSheetId="50">#REF!</definedName>
    <definedName name="K" localSheetId="51">#REF!</definedName>
    <definedName name="K" localSheetId="47">#REF!</definedName>
    <definedName name="K" localSheetId="48">#REF!</definedName>
    <definedName name="K" localSheetId="36">#REF!</definedName>
    <definedName name="K">#REF!</definedName>
    <definedName name="lambda">"'euroDollarFX (2)'!$F$6"</definedName>
    <definedName name="mean" localSheetId="30">'[25]NewlongtermOptions (2)'!#REF!</definedName>
    <definedName name="mean" localSheetId="31">'[25]NewlongtermOptions (2)'!#REF!</definedName>
    <definedName name="mean" localSheetId="49">'[25]NewlongtermOptions (2)'!#REF!</definedName>
    <definedName name="mean" localSheetId="50">'[25]NewlongtermOptions (2)'!#REF!</definedName>
    <definedName name="mean" localSheetId="51">'[25]NewlongtermOptions (2)'!#REF!</definedName>
    <definedName name="mean" localSheetId="47">'[25]NewlongtermOptions (2)'!#REF!</definedName>
    <definedName name="mean" localSheetId="48">'[25]NewlongtermOptions (2)'!#REF!</definedName>
    <definedName name="mean" localSheetId="44">'[25]NewlongtermOptions (2)'!#REF!</definedName>
    <definedName name="mean" localSheetId="36">'[25]NewlongtermOptions (2)'!#REF!</definedName>
    <definedName name="mean" localSheetId="40">'[25]NewlongtermOptions (2)'!#REF!</definedName>
    <definedName name="mean" localSheetId="42">'[25]NewlongtermOptions (2)'!#REF!</definedName>
    <definedName name="mean" localSheetId="39">'[25]NewlongtermOptions (2)'!#REF!</definedName>
    <definedName name="mean" localSheetId="38">'[25]NewlongtermOptions (2)'!#REF!</definedName>
    <definedName name="mean" localSheetId="45">'[25]NewlongtermOptions (2)'!#REF!</definedName>
    <definedName name="mean" localSheetId="37">'[25]NewlongtermOptions (2)'!#REF!</definedName>
    <definedName name="mean" localSheetId="41">'[25]NewlongtermOptions (2)'!#REF!</definedName>
    <definedName name="mean" localSheetId="43">'[25]NewlongtermOptions (2)'!#REF!</definedName>
    <definedName name="Mean">'QA2 Slide 15'!$C$39</definedName>
    <definedName name="mean_" localSheetId="30">'[25]NewlongtermOptions (2)'!#REF!</definedName>
    <definedName name="mean_" localSheetId="31">'[25]NewlongtermOptions (2)'!#REF!</definedName>
    <definedName name="mean_" localSheetId="51">'[25]NewlongtermOptions (2)'!#REF!</definedName>
    <definedName name="mean_" localSheetId="48">'[25]NewlongtermOptions (2)'!#REF!</definedName>
    <definedName name="mean_" localSheetId="44">'[25]NewlongtermOptions (2)'!#REF!</definedName>
    <definedName name="mean_" localSheetId="36">'[25]NewlongtermOptions (2)'!#REF!</definedName>
    <definedName name="mean_" localSheetId="40">'[25]NewlongtermOptions (2)'!#REF!</definedName>
    <definedName name="mean_" localSheetId="42">'[25]NewlongtermOptions (2)'!#REF!</definedName>
    <definedName name="mean_" localSheetId="39">'[25]NewlongtermOptions (2)'!#REF!</definedName>
    <definedName name="mean_" localSheetId="38">'[25]NewlongtermOptions (2)'!#REF!</definedName>
    <definedName name="mean_" localSheetId="45">'[25]NewlongtermOptions (2)'!#REF!</definedName>
    <definedName name="mean_" localSheetId="37">'[25]NewlongtermOptions (2)'!#REF!</definedName>
    <definedName name="mean_" localSheetId="41">'[25]NewlongtermOptions (2)'!#REF!</definedName>
    <definedName name="mean_" localSheetId="43">'[25]NewlongtermOptions (2)'!#REF!</definedName>
    <definedName name="mean_">'[25]NewlongtermOptions (2)'!#REF!</definedName>
    <definedName name="MeanB">'QA2 Slide 15'!$M$39</definedName>
    <definedName name="MeanF">'QA2 Slide 15'!$H$39</definedName>
    <definedName name="mu" localSheetId="30">'20.4.1'!$E$14</definedName>
    <definedName name="mu" localSheetId="32">'[26]2c.2 MCS (GBM)'!$E$4</definedName>
    <definedName name="mu" localSheetId="33">'[16]7a.2 LVaR_v2 (deviate)'!$D$7:$J$7</definedName>
    <definedName name="mu" localSheetId="27">'QA2 Slide 11'!$H$2</definedName>
    <definedName name="mu" localSheetId="28">'QA2 Slide 12 '!$H$2</definedName>
    <definedName name="mu" localSheetId="20">'QA2 Slide 6a'!$D$14</definedName>
    <definedName name="mu" localSheetId="21">'QA2 Slide 6b'!$D$14</definedName>
    <definedName name="mu" localSheetId="22">'QA2 Slide 7a'!$D$14</definedName>
    <definedName name="mu" localSheetId="23">'QA2 Slide 7b'!$D$14</definedName>
    <definedName name="mu" localSheetId="24">'QA2 Slide 8a'!$D$14</definedName>
    <definedName name="mu" localSheetId="25">'QA2 Slide 8b'!$D$14</definedName>
    <definedName name="mu">'[26]2c.2 MCS (GBM)'!$E$4</definedName>
    <definedName name="mu_">[27]MCS_GBM!$E$4</definedName>
    <definedName name="mu_X" localSheetId="34">'712-1-skew'!$E$34</definedName>
    <definedName name="mu_X">[28]coskew_cokurt_version1!$F$8</definedName>
    <definedName name="mu_Y" localSheetId="34">'712-1-skew'!#REF!</definedName>
    <definedName name="mu_Y">[28]coskew_cokurt_version1!$G$8</definedName>
    <definedName name="n" localSheetId="13">#N/A</definedName>
    <definedName name="n" localSheetId="30">#REF!</definedName>
    <definedName name="n" localSheetId="31">#REF!</definedName>
    <definedName name="n" localSheetId="49">#REF!</definedName>
    <definedName name="n" localSheetId="50">#REF!</definedName>
    <definedName name="n" localSheetId="51">#REF!</definedName>
    <definedName name="n" localSheetId="57">[29]Binomial!$D$3</definedName>
    <definedName name="n" localSheetId="47">#REF!</definedName>
    <definedName name="n" localSheetId="48">#REF!</definedName>
    <definedName name="n" localSheetId="36">#N/A</definedName>
    <definedName name="n">#REF!</definedName>
    <definedName name="n_" localSheetId="13">'[10]2a.3. SampleDists (t)'!$E$13:$Q$13</definedName>
    <definedName name="n_" localSheetId="30">#REF!</definedName>
    <definedName name="n_" localSheetId="36">'[5]2a.3. SampleDists (t)'!$E$13:$Q$13</definedName>
    <definedName name="n_">'[11]2a.3. SampleDists (t)'!$E$13:$Q$13</definedName>
    <definedName name="nci_a1" localSheetId="36">'[5]M. normal cdf inverse'!$D$5</definedName>
    <definedName name="nci_a1">'[6]M. normal cdf inverse'!$D$5</definedName>
    <definedName name="nci_a2" localSheetId="36">'[5]M. normal cdf inverse'!$D$6</definedName>
    <definedName name="nci_a2">'[6]M. normal cdf inverse'!$D$6</definedName>
    <definedName name="nci_a3" localSheetId="36">'[5]M. normal cdf inverse'!$D$7</definedName>
    <definedName name="nci_a3">'[6]M. normal cdf inverse'!$D$7</definedName>
    <definedName name="nci_a4" localSheetId="36">'[5]M. normal cdf inverse'!$D$8</definedName>
    <definedName name="nci_a4">'[6]M. normal cdf inverse'!$D$8</definedName>
    <definedName name="nci_a5" localSheetId="36">'[5]M. normal cdf inverse'!$D$9</definedName>
    <definedName name="nci_a5">'[6]M. normal cdf inverse'!$D$9</definedName>
    <definedName name="nci_a6" localSheetId="36">'[5]M. normal cdf inverse'!$D$10</definedName>
    <definedName name="nci_a6">'[6]M. normal cdf inverse'!$D$10</definedName>
    <definedName name="nci_b1" localSheetId="36">'[5]M. normal cdf inverse'!$D$11</definedName>
    <definedName name="nci_b1">'[6]M. normal cdf inverse'!$D$11</definedName>
    <definedName name="nci_b2" localSheetId="36">'[5]M. normal cdf inverse'!$D$12</definedName>
    <definedName name="nci_b2">'[6]M. normal cdf inverse'!$D$12</definedName>
    <definedName name="nci_b3" localSheetId="36">'[5]M. normal cdf inverse'!$D$13</definedName>
    <definedName name="nci_b3">'[6]M. normal cdf inverse'!$D$13</definedName>
    <definedName name="nci_b4" localSheetId="36">'[5]M. normal cdf inverse'!$D$14</definedName>
    <definedName name="nci_b4">'[6]M. normal cdf inverse'!$D$14</definedName>
    <definedName name="nci_b5" localSheetId="36">'[5]M. normal cdf inverse'!$D$15</definedName>
    <definedName name="nci_b5">'[6]M. normal cdf inverse'!$D$15</definedName>
    <definedName name="nci_c1" localSheetId="36">'[5]M. normal cdf inverse'!$D$16</definedName>
    <definedName name="nci_c1">'[6]M. normal cdf inverse'!$D$16</definedName>
    <definedName name="nci_c2" localSheetId="36">'[5]M. normal cdf inverse'!$D$17</definedName>
    <definedName name="nci_c2">'[6]M. normal cdf inverse'!$D$17</definedName>
    <definedName name="nci_c3" localSheetId="36">'[5]M. normal cdf inverse'!$D$18</definedName>
    <definedName name="nci_c3">'[6]M. normal cdf inverse'!$D$18</definedName>
    <definedName name="nci_c4" localSheetId="36">'[5]M. normal cdf inverse'!$D$19</definedName>
    <definedName name="nci_c4">'[6]M. normal cdf inverse'!$D$19</definedName>
    <definedName name="nci_c5" localSheetId="36">'[5]M. normal cdf inverse'!$D$20</definedName>
    <definedName name="nci_c5">'[6]M. normal cdf inverse'!$D$20</definedName>
    <definedName name="nci_c6" localSheetId="36">'[5]M. normal cdf inverse'!$D$21</definedName>
    <definedName name="nci_c6">'[6]M. normal cdf inverse'!$D$21</definedName>
    <definedName name="nci_d1" localSheetId="36">'[5]M. normal cdf inverse'!$D$22</definedName>
    <definedName name="nci_d1">'[6]M. normal cdf inverse'!$D$22</definedName>
    <definedName name="nci_d2" localSheetId="36">'[5]M. normal cdf inverse'!$D$23</definedName>
    <definedName name="nci_d2">'[6]M. normal cdf inverse'!$D$23</definedName>
    <definedName name="nci_d3" localSheetId="36">'[5]M. normal cdf inverse'!$D$24</definedName>
    <definedName name="nci_d3">'[6]M. normal cdf inverse'!$D$24</definedName>
    <definedName name="nci_d4" localSheetId="36">'[5]M. normal cdf inverse'!$D$25</definedName>
    <definedName name="nci_d4">'[6]M. normal cdf inverse'!$D$25</definedName>
    <definedName name="nci_pHigh" localSheetId="36">'[5]M. normal cdf inverse'!$D$27</definedName>
    <definedName name="nci_pHigh">'[6]M. normal cdf inverse'!$D$27</definedName>
    <definedName name="nci_pLow" localSheetId="36">'[5]M. normal cdf inverse'!$D$26</definedName>
    <definedName name="nci_pLow">'[6]M. normal cdf inverse'!$D$26</definedName>
    <definedName name="p" localSheetId="13">#N/A</definedName>
    <definedName name="p" localSheetId="57">[29]Binomial!$D$4</definedName>
    <definedName name="p" localSheetId="36">#N/A</definedName>
    <definedName name="p">'[30]6.1'!$A$1:$Q$589</definedName>
    <definedName name="P_0">'[31]M. ArithmeticAsia'!$C$8</definedName>
    <definedName name="Price0" localSheetId="13">[32]lognormal!$D$2</definedName>
    <definedName name="Price0" localSheetId="57">[33]lognormal!$D$3</definedName>
    <definedName name="Price0" localSheetId="46">[34]lognormal!$D$3</definedName>
    <definedName name="Price0">[35]lognormal!$D$2</definedName>
    <definedName name="_xlnm.Print_Area" localSheetId="50">'20.7.2'!$1:$1048576</definedName>
    <definedName name="_xlnm.Print_Area" localSheetId="34">'712-1-skew'!$1:$1048576</definedName>
    <definedName name="_xlnm.Print_Area">'[36]1.11'!$A$1:$Q$589</definedName>
    <definedName name="PRINT_AREA_MI">'[36]1.11'!$A$1:$Q$529</definedName>
    <definedName name="Prob" localSheetId="34">'712-1-skew'!$D$22:$D$26</definedName>
    <definedName name="Prob">[28]coskew_cokurt_version1!$E$4:$E$6</definedName>
    <definedName name="pthree" localSheetId="57">[29]Binomial!$D$6</definedName>
    <definedName name="pthree">#N/A</definedName>
    <definedName name="ptwo" localSheetId="57">[29]Binomial!$D$5</definedName>
    <definedName name="ptwo">#N/A</definedName>
    <definedName name="q" localSheetId="30">#REF!</definedName>
    <definedName name="q" localSheetId="31">#REF!</definedName>
    <definedName name="q" localSheetId="49">#REF!</definedName>
    <definedName name="q" localSheetId="50">#REF!</definedName>
    <definedName name="q" localSheetId="51">#REF!</definedName>
    <definedName name="q" localSheetId="47">#REF!</definedName>
    <definedName name="q" localSheetId="48">#REF!</definedName>
    <definedName name="q" localSheetId="36">#REF!</definedName>
    <definedName name="q">#REF!</definedName>
    <definedName name="Quoted_Bond_Price" localSheetId="30">#REF!</definedName>
    <definedName name="Quoted_Bond_Price" localSheetId="31">#REF!</definedName>
    <definedName name="Quoted_Bond_Price" localSheetId="49">#REF!</definedName>
    <definedName name="Quoted_Bond_Price" localSheetId="50">#REF!</definedName>
    <definedName name="Quoted_Bond_Price" localSheetId="51">#REF!</definedName>
    <definedName name="Quoted_Bond_Price" localSheetId="47">#REF!</definedName>
    <definedName name="Quoted_Bond_Price" localSheetId="48">#REF!</definedName>
    <definedName name="Quoted_Bond_Price" localSheetId="36">#REF!</definedName>
    <definedName name="Quoted_Bond_Price">#REF!</definedName>
    <definedName name="r_rand" localSheetId="30">'[15]2.1b'!#REF!</definedName>
    <definedName name="r_rand" localSheetId="49">'[15]2.1b'!#REF!</definedName>
    <definedName name="r_rand" localSheetId="51">'[15]2.1b'!#REF!</definedName>
    <definedName name="r_rand" localSheetId="48">'[15]2.1b'!#REF!</definedName>
    <definedName name="r_rand" localSheetId="36">'[15]2.1b'!#REF!</definedName>
    <definedName name="r_rand">'[15]2.1b'!#REF!</definedName>
    <definedName name="R_usd" localSheetId="30">'[15]2.1b'!#REF!</definedName>
    <definedName name="R_usd" localSheetId="49">'[15]2.1b'!#REF!</definedName>
    <definedName name="R_usd" localSheetId="51">'[15]2.1b'!#REF!</definedName>
    <definedName name="R_usd" localSheetId="48">'[15]2.1b'!#REF!</definedName>
    <definedName name="R_usd" localSheetId="36">'[15]2.1b'!#REF!</definedName>
    <definedName name="R_usd">'[15]2.1b'!#REF!</definedName>
    <definedName name="return" localSheetId="13">[32]lognormal!$D$3</definedName>
    <definedName name="return" localSheetId="57">[33]lognormal!$D$4</definedName>
    <definedName name="return" localSheetId="46">[34]lognormal!$D$4</definedName>
    <definedName name="return">[35]lognormal!$D$3</definedName>
    <definedName name="return_a" localSheetId="30">#REF!</definedName>
    <definedName name="return_a" localSheetId="31">#REF!</definedName>
    <definedName name="return_a" localSheetId="49">#REF!</definedName>
    <definedName name="return_a" localSheetId="50">#REF!</definedName>
    <definedName name="return_a" localSheetId="51">#REF!</definedName>
    <definedName name="return_a" localSheetId="47">#REF!</definedName>
    <definedName name="return_a" localSheetId="48">#REF!</definedName>
    <definedName name="return_a" localSheetId="36">#REF!</definedName>
    <definedName name="return_a">#REF!</definedName>
    <definedName name="return_b" localSheetId="30">#REF!</definedName>
    <definedName name="return_b" localSheetId="31">#REF!</definedName>
    <definedName name="return_b" localSheetId="49">#REF!</definedName>
    <definedName name="return_b" localSheetId="50">#REF!</definedName>
    <definedName name="return_b" localSheetId="51">#REF!</definedName>
    <definedName name="return_b" localSheetId="47">#REF!</definedName>
    <definedName name="return_b" localSheetId="48">#REF!</definedName>
    <definedName name="return_b" localSheetId="36">#REF!</definedName>
    <definedName name="return_b">#REF!</definedName>
    <definedName name="rho" localSheetId="14">#REF!</definedName>
    <definedName name="rho" localSheetId="15">#REF!</definedName>
    <definedName name="rho" localSheetId="16">#REF!</definedName>
    <definedName name="rho" localSheetId="32">#REF!</definedName>
    <definedName name="rho" localSheetId="33">#REF!</definedName>
    <definedName name="rho" localSheetId="34">'[37]Jorion 12.4.1.'!$D$3</definedName>
    <definedName name="rho">'[38]Jorion 12.4.1._correlated_norma'!$D$3</definedName>
    <definedName name="rho_">'[26]2c.3 correlated_normals'!$D$3</definedName>
    <definedName name="rhod" localSheetId="30">'[15]2.1b'!#REF!</definedName>
    <definedName name="rhod" localSheetId="31">'[15]2.1b'!#REF!</definedName>
    <definedName name="rhod" localSheetId="49">'[15]2.1b'!#REF!</definedName>
    <definedName name="rhod" localSheetId="50">'[15]2.1b'!#REF!</definedName>
    <definedName name="rhod" localSheetId="51">'[15]2.1b'!#REF!</definedName>
    <definedName name="rhod" localSheetId="48">'[15]2.1b'!#REF!</definedName>
    <definedName name="rhod" localSheetId="36">'[15]2.1b'!#REF!</definedName>
    <definedName name="rhod">'[15]2.1b'!#REF!</definedName>
    <definedName name="rhor" localSheetId="30">'[15]2.1b'!#REF!</definedName>
    <definedName name="rhor" localSheetId="31">'[15]2.1b'!#REF!</definedName>
    <definedName name="rhor" localSheetId="49">'[15]2.1b'!#REF!</definedName>
    <definedName name="rhor" localSheetId="50">'[15]2.1b'!#REF!</definedName>
    <definedName name="rhor" localSheetId="51">'[15]2.1b'!#REF!</definedName>
    <definedName name="rhor" localSheetId="48">'[15]2.1b'!#REF!</definedName>
    <definedName name="rhor" localSheetId="36">'[15]2.1b'!#REF!</definedName>
    <definedName name="rhor">'[15]2.1b'!#REF!</definedName>
    <definedName name="riskFreeRate">'[31]M. ArithmeticAsia'!$C$5</definedName>
    <definedName name="S" localSheetId="30">'[9]Black-Scholes'!#REF!</definedName>
    <definedName name="S" localSheetId="31">'[9]Black-Scholes'!#REF!</definedName>
    <definedName name="S" localSheetId="49">'[9]Black-Scholes'!#REF!</definedName>
    <definedName name="S" localSheetId="50">'[9]Black-Scholes'!#REF!</definedName>
    <definedName name="S" localSheetId="51">'[9]Black-Scholes'!#REF!</definedName>
    <definedName name="S" localSheetId="48">'[9]Black-Scholes'!#REF!</definedName>
    <definedName name="S" localSheetId="36">'[9]Black-Scholes'!#REF!</definedName>
    <definedName name="S">'[9]Black-Scholes'!#REF!</definedName>
    <definedName name="_xlnm.Sheet_Title" localSheetId="50">"F"</definedName>
    <definedName name="_xlnm.Sheet_Title" localSheetId="34">"Gujarati's Examples"</definedName>
    <definedName name="sigma" localSheetId="27">'QA2 Slide 11'!$H$3</definedName>
    <definedName name="sigma" localSheetId="28">'QA2 Slide 12 '!$H$3</definedName>
    <definedName name="sigma">'[31]M. ArithmeticAsia'!$C$6</definedName>
    <definedName name="sigma_a" localSheetId="30">#REF!</definedName>
    <definedName name="sigma_a" localSheetId="31">#REF!</definedName>
    <definedName name="sigma_a" localSheetId="49">#REF!</definedName>
    <definedName name="sigma_a" localSheetId="50">#REF!</definedName>
    <definedName name="sigma_a" localSheetId="51">#REF!</definedName>
    <definedName name="sigma_a" localSheetId="47">#REF!</definedName>
    <definedName name="sigma_a" localSheetId="48">#REF!</definedName>
    <definedName name="sigma_a" localSheetId="36">#REF!</definedName>
    <definedName name="sigma_a">#REF!</definedName>
    <definedName name="sigma_b" localSheetId="30">#REF!</definedName>
    <definedName name="sigma_b" localSheetId="31">#REF!</definedName>
    <definedName name="sigma_b" localSheetId="49">#REF!</definedName>
    <definedName name="sigma_b" localSheetId="50">#REF!</definedName>
    <definedName name="sigma_b" localSheetId="51">#REF!</definedName>
    <definedName name="sigma_b" localSheetId="47">#REF!</definedName>
    <definedName name="sigma_b" localSheetId="48">#REF!</definedName>
    <definedName name="sigma_b" localSheetId="36">#REF!</definedName>
    <definedName name="sigma_b">#REF!</definedName>
    <definedName name="simga_">'[16]7a.2 LVaR_v2 (deviate)'!$D$6:$J$6</definedName>
    <definedName name="slope">'[23]OLS Tests'!$G$6</definedName>
    <definedName name="slope_">'[24]2011 Gujarati OLS Tests'!$G$6</definedName>
    <definedName name="spread">'[16]7a.2 LVaR_v2 (deviate)'!$D$18:$J$18</definedName>
    <definedName name="spread_sigma">'[16]7a.2 LVaR_v2 (deviate)'!$D$19:$J$19</definedName>
    <definedName name="step" localSheetId="30">#REF!</definedName>
    <definedName name="step" localSheetId="31">#REF!</definedName>
    <definedName name="step" localSheetId="49">#REF!</definedName>
    <definedName name="step" localSheetId="50">#REF!</definedName>
    <definedName name="step" localSheetId="51">#REF!</definedName>
    <definedName name="step" localSheetId="47">#REF!</definedName>
    <definedName name="step" localSheetId="48">#REF!</definedName>
    <definedName name="step" localSheetId="36">#REF!</definedName>
    <definedName name="step">#REF!</definedName>
    <definedName name="stepSize">'[31]M. ArithmeticAsia'!$F$9</definedName>
    <definedName name="Strike" localSheetId="30">'[15]2.1b'!#REF!</definedName>
    <definedName name="strike">'[31]M. ArithmeticAsia'!$C$4</definedName>
    <definedName name="swap_compute_handler" localSheetId="34">'712-1-skew'!swap_compute_handler</definedName>
    <definedName name="swap_compute_handler">[8]!swap_compute_handler</definedName>
    <definedName name="swap_graph_handler" localSheetId="34">'712-1-skew'!swap_graph_handler</definedName>
    <definedName name="swap_graph_handler">[8]!swap_graph_handler</definedName>
    <definedName name="swap_graph_input_formatter" localSheetId="34">'712-1-skew'!swap_graph_input_formatter</definedName>
    <definedName name="swap_graph_input_formatter">[8]!swap_graph_input_formatter</definedName>
    <definedName name="T" localSheetId="13">[32]lognormal!$D$5</definedName>
    <definedName name="T" localSheetId="57">[33]lognormal!$D$6</definedName>
    <definedName name="T" localSheetId="46">[34]lognormal!$D$6</definedName>
    <definedName name="T">[35]lognormal!$D$5</definedName>
    <definedName name="testarray100">'[39]QA5 Slide 16'!$L$8:$L$107</definedName>
    <definedName name="testarray2">'[39]QA5 Slide 16'!$F$8:$F$19</definedName>
    <definedName name="testarray3">'[39]QA5 Slide 16'!$F$24:$F$33</definedName>
    <definedName name="TESTarray99">'[39]QA5 Slide 16'!$L$9:$L$107</definedName>
    <definedName name="time">'[26]2c.2 MCS (GBM)'!$E$7</definedName>
    <definedName name="time_">[27]MCS_GBM!$E$7</definedName>
    <definedName name="timeToExpiry">'[31]M. ArithmeticAsia'!$C$7</definedName>
    <definedName name="TS_Bottom" localSheetId="30">#REF!</definedName>
    <definedName name="TS_Bottom" localSheetId="31">#REF!</definedName>
    <definedName name="TS_Bottom" localSheetId="49">#REF!</definedName>
    <definedName name="TS_Bottom" localSheetId="50">#REF!</definedName>
    <definedName name="TS_Bottom" localSheetId="51">#REF!</definedName>
    <definedName name="TS_Bottom" localSheetId="47">#REF!</definedName>
    <definedName name="TS_Bottom" localSheetId="48">#REF!</definedName>
    <definedName name="TS_Bottom" localSheetId="36">#REF!</definedName>
    <definedName name="TS_Bottom">#REF!</definedName>
    <definedName name="TS_Top" localSheetId="30">#REF!</definedName>
    <definedName name="TS_Top" localSheetId="31">#REF!</definedName>
    <definedName name="TS_Top" localSheetId="49">#REF!</definedName>
    <definedName name="TS_Top" localSheetId="50">#REF!</definedName>
    <definedName name="TS_Top" localSheetId="51">#REF!</definedName>
    <definedName name="TS_Top" localSheetId="47">#REF!</definedName>
    <definedName name="TS_Top" localSheetId="48">#REF!</definedName>
    <definedName name="TS_Top" localSheetId="36">#REF!</definedName>
    <definedName name="TS_Top">#REF!</definedName>
    <definedName name="Underlying" localSheetId="30">'[15]2.1b'!#REF!</definedName>
    <definedName name="Underlying" localSheetId="49">'[15]2.1b'!#REF!</definedName>
    <definedName name="Underlying" localSheetId="51">'[15]2.1b'!#REF!</definedName>
    <definedName name="Underlying" localSheetId="48">'[15]2.1b'!#REF!</definedName>
    <definedName name="Underlying" localSheetId="36">'[15]2.1b'!#REF!</definedName>
    <definedName name="Underlying">'[15]2.1b'!#REF!</definedName>
    <definedName name="up" localSheetId="36">'QA3-binomial-tree'!$B$5</definedName>
    <definedName name="up">'[6]309.2'!$B$4</definedName>
    <definedName name="V" localSheetId="30">#REF!</definedName>
    <definedName name="V" localSheetId="31">#REF!</definedName>
    <definedName name="V" localSheetId="49">#REF!</definedName>
    <definedName name="V" localSheetId="50">#REF!</definedName>
    <definedName name="V" localSheetId="51">#REF!</definedName>
    <definedName name="V" localSheetId="47">#REF!</definedName>
    <definedName name="V" localSheetId="48">#REF!</definedName>
    <definedName name="V" localSheetId="36">#REF!</definedName>
    <definedName name="V">#REF!</definedName>
    <definedName name="var_cov" localSheetId="30">#REF!</definedName>
    <definedName name="var_cov" localSheetId="31">#REF!</definedName>
    <definedName name="var_cov" localSheetId="49">#REF!</definedName>
    <definedName name="var_cov" localSheetId="50">#REF!</definedName>
    <definedName name="var_cov" localSheetId="51">#REF!</definedName>
    <definedName name="var_cov" localSheetId="47">#REF!</definedName>
    <definedName name="var_cov" localSheetId="48">#REF!</definedName>
    <definedName name="var_cov" localSheetId="36">#REF!</definedName>
    <definedName name="var_cov">#REF!</definedName>
    <definedName name="var_sample" localSheetId="13">'[10]2a.3 SampleDists (chi^2)'!$E$5</definedName>
    <definedName name="var_sample" localSheetId="36">'[5]2a.3 SampleDists (chi^2)'!$E$5</definedName>
    <definedName name="var_sample">'[11]2a.3 SampleDists (chi^2)'!$E$5</definedName>
    <definedName name="variance_a" localSheetId="30">#REF!</definedName>
    <definedName name="variance_a" localSheetId="31">#REF!</definedName>
    <definedName name="variance_a" localSheetId="49">#REF!</definedName>
    <definedName name="variance_a" localSheetId="50">#REF!</definedName>
    <definedName name="variance_a" localSheetId="51">#REF!</definedName>
    <definedName name="variance_a" localSheetId="47">#REF!</definedName>
    <definedName name="variance_a" localSheetId="48">#REF!</definedName>
    <definedName name="variance_a" localSheetId="36">#REF!</definedName>
    <definedName name="variance_a">#REF!</definedName>
    <definedName name="variance_b" localSheetId="30">#REF!</definedName>
    <definedName name="variance_b" localSheetId="31">#REF!</definedName>
    <definedName name="variance_b" localSheetId="49">#REF!</definedName>
    <definedName name="variance_b" localSheetId="50">#REF!</definedName>
    <definedName name="variance_b" localSheetId="51">#REF!</definedName>
    <definedName name="variance_b" localSheetId="47">#REF!</definedName>
    <definedName name="variance_b" localSheetId="48">#REF!</definedName>
    <definedName name="variance_b" localSheetId="36">#REF!</definedName>
    <definedName name="variance_b">#REF!</definedName>
    <definedName name="variance_market" localSheetId="30">#REF!</definedName>
    <definedName name="variance_market" localSheetId="31">#REF!</definedName>
    <definedName name="variance_market" localSheetId="49">#REF!</definedName>
    <definedName name="variance_market" localSheetId="50">#REF!</definedName>
    <definedName name="variance_market" localSheetId="51">#REF!</definedName>
    <definedName name="variance_market" localSheetId="47">#REF!</definedName>
    <definedName name="variance_market" localSheetId="48">#REF!</definedName>
    <definedName name="variance_market" localSheetId="36">#REF!</definedName>
    <definedName name="variance_market">#REF!</definedName>
    <definedName name="vega_sen" localSheetId="30">'[15]2.1b'!#REF!</definedName>
    <definedName name="vega_sen" localSheetId="49">'[15]2.1b'!#REF!</definedName>
    <definedName name="vega_sen" localSheetId="51">'[15]2.1b'!#REF!</definedName>
    <definedName name="vega_sen" localSheetId="48">'[15]2.1b'!#REF!</definedName>
    <definedName name="vega_sen" localSheetId="36">'[15]2.1b'!#REF!</definedName>
    <definedName name="vega_sen">'[15]2.1b'!#REF!</definedName>
    <definedName name="vol" localSheetId="13">[32]lognormal!$D$4</definedName>
    <definedName name="vol" localSheetId="57">[33]lognormal!$D$5</definedName>
    <definedName name="vol" localSheetId="46">[34]lognormal!$D$5</definedName>
    <definedName name="vol">[35]lognormal!$D$4</definedName>
    <definedName name="vol_" localSheetId="30">#REF!</definedName>
    <definedName name="vol_" localSheetId="31">#REF!</definedName>
    <definedName name="vol_" localSheetId="49">#REF!</definedName>
    <definedName name="vol_" localSheetId="50">#REF!</definedName>
    <definedName name="vol_" localSheetId="51">#REF!</definedName>
    <definedName name="vol_" localSheetId="47">#REF!</definedName>
    <definedName name="vol_" localSheetId="48">#REF!</definedName>
    <definedName name="vol_" localSheetId="36">#REF!</definedName>
    <definedName name="vol_">#REF!</definedName>
    <definedName name="volatility">'[26]2c.2 MCS (GBM)'!$E$5</definedName>
    <definedName name="volatility_">[27]MCS_GBM!$E$5</definedName>
    <definedName name="W" localSheetId="32">'[16]7a.2 LVaR_v2 (deviate)'!$D$5:$J$5</definedName>
    <definedName name="W" localSheetId="33">'[16]7a.2 LVaR_v2 (deviate)'!$D$5:$J$5</definedName>
    <definedName name="w">'[7]4a.1 2AssetVaR'!$D$11</definedName>
    <definedName name="w_" localSheetId="30">#REF!</definedName>
    <definedName name="w_" localSheetId="31">#REF!</definedName>
    <definedName name="w_" localSheetId="49">#REF!</definedName>
    <definedName name="w_" localSheetId="50">#REF!</definedName>
    <definedName name="w_" localSheetId="51">#REF!</definedName>
    <definedName name="w_" localSheetId="47">#REF!</definedName>
    <definedName name="w_" localSheetId="48">#REF!</definedName>
    <definedName name="w_" localSheetId="36">#REF!</definedName>
    <definedName name="w_">#REF!</definedName>
    <definedName name="x_avg">'[23]OLS Tests'!$B$15</definedName>
    <definedName name="x_avg_">'[24]2011 Gujarati OLS Tests'!$B$15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6" l="1"/>
  <c r="G11" i="76"/>
  <c r="D13" i="76"/>
  <c r="E13" i="76"/>
  <c r="F13" i="76"/>
  <c r="G13" i="76"/>
  <c r="I27" i="76" s="1"/>
  <c r="H15" i="76"/>
  <c r="E16" i="76"/>
  <c r="G16" i="76"/>
  <c r="G17" i="76"/>
  <c r="D18" i="76"/>
  <c r="E18" i="76"/>
  <c r="F18" i="76"/>
  <c r="G18" i="76"/>
  <c r="D20" i="76"/>
  <c r="D25" i="76" s="1"/>
  <c r="E20" i="76"/>
  <c r="E25" i="76" s="1"/>
  <c r="F20" i="76"/>
  <c r="F25" i="76" s="1"/>
  <c r="G20" i="76"/>
  <c r="G25" i="76" s="1"/>
  <c r="D22" i="76"/>
  <c r="E22" i="76"/>
  <c r="E23" i="76" s="1"/>
  <c r="E24" i="76" s="1"/>
  <c r="F22" i="76"/>
  <c r="G22" i="76"/>
  <c r="D23" i="76"/>
  <c r="D24" i="76" s="1"/>
  <c r="F23" i="76"/>
  <c r="F24" i="76" s="1"/>
  <c r="G23" i="76"/>
  <c r="G24" i="76" s="1"/>
  <c r="H26" i="76"/>
  <c r="G27" i="76"/>
  <c r="G28" i="76"/>
  <c r="G31" i="76" s="1"/>
  <c r="G33" i="76"/>
  <c r="H33" i="76"/>
  <c r="G34" i="76"/>
  <c r="H34" i="76"/>
  <c r="L6" i="75"/>
  <c r="S6" i="75"/>
  <c r="O7" i="75"/>
  <c r="O8" i="75"/>
  <c r="O25" i="75" s="1"/>
  <c r="K10" i="75"/>
  <c r="L10" i="75"/>
  <c r="M10" i="75"/>
  <c r="R10" i="75"/>
  <c r="S10" i="75"/>
  <c r="T10" i="75"/>
  <c r="J23" i="75"/>
  <c r="J22" i="75" s="1"/>
  <c r="J24" i="75"/>
  <c r="K24" i="75"/>
  <c r="L24" i="75"/>
  <c r="M24" i="75"/>
  <c r="N24" i="75"/>
  <c r="O24" i="75"/>
  <c r="Q24" i="75"/>
  <c r="Q23" i="75" s="1"/>
  <c r="R24" i="75"/>
  <c r="S24" i="75"/>
  <c r="T24" i="75"/>
  <c r="V24" i="75"/>
  <c r="V25" i="75" s="1"/>
  <c r="W24" i="75"/>
  <c r="W25" i="75" s="1"/>
  <c r="K25" i="75"/>
  <c r="L25" i="75"/>
  <c r="M25" i="75"/>
  <c r="N25" i="75"/>
  <c r="R25" i="75"/>
  <c r="T25" i="75" s="1"/>
  <c r="S25" i="75"/>
  <c r="J26" i="75"/>
  <c r="K26" i="75"/>
  <c r="L26" i="75"/>
  <c r="M26" i="75"/>
  <c r="N26" i="75"/>
  <c r="O26" i="75"/>
  <c r="Q26" i="75"/>
  <c r="Q27" i="75" s="1"/>
  <c r="J27" i="75"/>
  <c r="J28" i="75" s="1"/>
  <c r="K39" i="75"/>
  <c r="M39" i="75" s="1"/>
  <c r="L39" i="75"/>
  <c r="N39" i="75"/>
  <c r="O39" i="75"/>
  <c r="I26" i="76" l="1"/>
  <c r="G30" i="76"/>
  <c r="Q22" i="75"/>
  <c r="S23" i="75"/>
  <c r="R23" i="75"/>
  <c r="T23" i="75" s="1"/>
  <c r="R27" i="75"/>
  <c r="S27" i="75"/>
  <c r="Q28" i="75"/>
  <c r="K22" i="75"/>
  <c r="L22" i="75"/>
  <c r="N22" i="75"/>
  <c r="O22" i="75"/>
  <c r="J21" i="75"/>
  <c r="P25" i="75"/>
  <c r="X25" i="75"/>
  <c r="N28" i="75"/>
  <c r="K28" i="75"/>
  <c r="L28" i="75"/>
  <c r="O28" i="75"/>
  <c r="J29" i="75"/>
  <c r="O27" i="75"/>
  <c r="L27" i="75"/>
  <c r="N27" i="75"/>
  <c r="K27" i="75"/>
  <c r="O23" i="75"/>
  <c r="N23" i="75"/>
  <c r="S26" i="75"/>
  <c r="L23" i="75"/>
  <c r="R26" i="75"/>
  <c r="T26" i="75" s="1"/>
  <c r="K23" i="75"/>
  <c r="M23" i="75" s="1"/>
  <c r="J30" i="75" l="1"/>
  <c r="K29" i="75"/>
  <c r="N29" i="75"/>
  <c r="L29" i="75"/>
  <c r="O29" i="75"/>
  <c r="M28" i="75"/>
  <c r="J20" i="75"/>
  <c r="K21" i="75"/>
  <c r="L21" i="75"/>
  <c r="N21" i="75"/>
  <c r="O21" i="75"/>
  <c r="M22" i="75"/>
  <c r="Q29" i="75"/>
  <c r="R28" i="75"/>
  <c r="S28" i="75"/>
  <c r="T27" i="75"/>
  <c r="M27" i="75"/>
  <c r="R22" i="75"/>
  <c r="S22" i="75"/>
  <c r="Q21" i="75"/>
  <c r="Q20" i="75" l="1"/>
  <c r="R21" i="75"/>
  <c r="S21" i="75"/>
  <c r="T22" i="75"/>
  <c r="T28" i="75"/>
  <c r="R29" i="75"/>
  <c r="S29" i="75"/>
  <c r="Q30" i="75"/>
  <c r="M21" i="75"/>
  <c r="K20" i="75"/>
  <c r="J19" i="75"/>
  <c r="L20" i="75"/>
  <c r="N20" i="75"/>
  <c r="O20" i="75"/>
  <c r="M29" i="75"/>
  <c r="J31" i="75"/>
  <c r="N30" i="75"/>
  <c r="K30" i="75"/>
  <c r="L30" i="75"/>
  <c r="O30" i="75"/>
  <c r="M30" i="75" l="1"/>
  <c r="J18" i="75"/>
  <c r="K19" i="75"/>
  <c r="L19" i="75"/>
  <c r="N19" i="75"/>
  <c r="O19" i="75"/>
  <c r="Q31" i="75"/>
  <c r="R30" i="75"/>
  <c r="S30" i="75"/>
  <c r="J32" i="75"/>
  <c r="K31" i="75"/>
  <c r="N31" i="75"/>
  <c r="L31" i="75"/>
  <c r="O31" i="75"/>
  <c r="M20" i="75"/>
  <c r="T29" i="75"/>
  <c r="T21" i="75"/>
  <c r="R20" i="75"/>
  <c r="S20" i="75"/>
  <c r="Q19" i="75"/>
  <c r="S19" i="75" l="1"/>
  <c r="R19" i="75"/>
  <c r="T19" i="75" s="1"/>
  <c r="Q18" i="75"/>
  <c r="T20" i="75"/>
  <c r="M31" i="75"/>
  <c r="O32" i="75"/>
  <c r="K32" i="75"/>
  <c r="L32" i="75"/>
  <c r="J33" i="75"/>
  <c r="N32" i="75"/>
  <c r="T30" i="75"/>
  <c r="R31" i="75"/>
  <c r="S31" i="75"/>
  <c r="Q32" i="75"/>
  <c r="M19" i="75"/>
  <c r="K18" i="75"/>
  <c r="M18" i="75" s="1"/>
  <c r="L18" i="75"/>
  <c r="N18" i="75"/>
  <c r="J17" i="75"/>
  <c r="O18" i="75"/>
  <c r="J16" i="75" l="1"/>
  <c r="K17" i="75"/>
  <c r="M17" i="75" s="1"/>
  <c r="L17" i="75"/>
  <c r="N17" i="75"/>
  <c r="O17" i="75"/>
  <c r="T31" i="75"/>
  <c r="Q33" i="75"/>
  <c r="R32" i="75"/>
  <c r="T32" i="75" s="1"/>
  <c r="S32" i="75"/>
  <c r="R18" i="75"/>
  <c r="S18" i="75"/>
  <c r="Q17" i="75"/>
  <c r="J34" i="75"/>
  <c r="K33" i="75"/>
  <c r="N33" i="75"/>
  <c r="L33" i="75"/>
  <c r="O33" i="75"/>
  <c r="M32" i="75"/>
  <c r="M33" i="75" l="1"/>
  <c r="K34" i="75"/>
  <c r="O34" i="75"/>
  <c r="J35" i="75"/>
  <c r="N34" i="75"/>
  <c r="L34" i="75"/>
  <c r="Q16" i="75"/>
  <c r="S17" i="75"/>
  <c r="R17" i="75"/>
  <c r="T17" i="75" s="1"/>
  <c r="T18" i="75"/>
  <c r="R33" i="75"/>
  <c r="S33" i="75"/>
  <c r="Q34" i="75"/>
  <c r="K16" i="75"/>
  <c r="L16" i="75"/>
  <c r="O16" i="75"/>
  <c r="J15" i="75"/>
  <c r="N16" i="75"/>
  <c r="J14" i="75" l="1"/>
  <c r="K15" i="75"/>
  <c r="L15" i="75"/>
  <c r="N15" i="75"/>
  <c r="O15" i="75"/>
  <c r="M16" i="75"/>
  <c r="Q35" i="75"/>
  <c r="R34" i="75"/>
  <c r="T34" i="75" s="1"/>
  <c r="S34" i="75"/>
  <c r="T33" i="75"/>
  <c r="R16" i="75"/>
  <c r="S16" i="75"/>
  <c r="Q15" i="75"/>
  <c r="J36" i="75"/>
  <c r="K35" i="75"/>
  <c r="N35" i="75"/>
  <c r="O35" i="75"/>
  <c r="L35" i="75"/>
  <c r="M34" i="75"/>
  <c r="L36" i="75" l="1"/>
  <c r="N36" i="75"/>
  <c r="J37" i="75"/>
  <c r="K36" i="75"/>
  <c r="M36" i="75" s="1"/>
  <c r="O36" i="75"/>
  <c r="M35" i="75"/>
  <c r="S15" i="75"/>
  <c r="R15" i="75"/>
  <c r="T15" i="75" s="1"/>
  <c r="Q14" i="75"/>
  <c r="T16" i="75"/>
  <c r="R35" i="75"/>
  <c r="T35" i="75" s="1"/>
  <c r="S35" i="75"/>
  <c r="Q36" i="75"/>
  <c r="M15" i="75"/>
  <c r="K14" i="75"/>
  <c r="L14" i="75"/>
  <c r="N14" i="75"/>
  <c r="O14" i="75"/>
  <c r="J13" i="75"/>
  <c r="J12" i="75" l="1"/>
  <c r="K13" i="75"/>
  <c r="L13" i="75"/>
  <c r="N13" i="75"/>
  <c r="O13" i="75"/>
  <c r="M14" i="75"/>
  <c r="Q37" i="75"/>
  <c r="R36" i="75"/>
  <c r="S36" i="75"/>
  <c r="R14" i="75"/>
  <c r="S14" i="75"/>
  <c r="Q13" i="75"/>
  <c r="K37" i="75"/>
  <c r="N37" i="75"/>
  <c r="L37" i="75"/>
  <c r="O37" i="75"/>
  <c r="J38" i="75"/>
  <c r="Q12" i="75" l="1"/>
  <c r="R13" i="75"/>
  <c r="S13" i="75"/>
  <c r="O38" i="75"/>
  <c r="K38" i="75"/>
  <c r="L38" i="75"/>
  <c r="N38" i="75"/>
  <c r="M37" i="75"/>
  <c r="T14" i="75"/>
  <c r="T36" i="75"/>
  <c r="R37" i="75"/>
  <c r="T37" i="75" s="1"/>
  <c r="S37" i="75"/>
  <c r="Q38" i="75"/>
  <c r="M13" i="75"/>
  <c r="K12" i="75"/>
  <c r="M12" i="75" s="1"/>
  <c r="L12" i="75"/>
  <c r="N12" i="75"/>
  <c r="O12" i="75"/>
  <c r="J11" i="75"/>
  <c r="K11" i="75" l="1"/>
  <c r="L11" i="75"/>
  <c r="N11" i="75"/>
  <c r="O11" i="75"/>
  <c r="R38" i="75"/>
  <c r="S38" i="75"/>
  <c r="Q39" i="75"/>
  <c r="M38" i="75"/>
  <c r="T13" i="75"/>
  <c r="R12" i="75"/>
  <c r="T12" i="75" s="1"/>
  <c r="S12" i="75"/>
  <c r="Q11" i="75"/>
  <c r="S11" i="75" l="1"/>
  <c r="R11" i="75"/>
  <c r="T11" i="75" s="1"/>
  <c r="R39" i="75"/>
  <c r="S39" i="75"/>
  <c r="T38" i="75"/>
  <c r="M11" i="75"/>
  <c r="T39" i="75" l="1"/>
  <c r="E5" i="74" l="1"/>
  <c r="E8" i="74" s="1"/>
  <c r="E9" i="74" s="1"/>
  <c r="E11" i="74" l="1"/>
  <c r="H8" i="74" s="1"/>
  <c r="E22" i="73" l="1"/>
  <c r="E23" i="73"/>
  <c r="E27" i="73" s="1"/>
  <c r="E24" i="73"/>
  <c r="E25" i="73"/>
  <c r="E34" i="73" s="1"/>
  <c r="E26" i="73"/>
  <c r="C33" i="73"/>
  <c r="R38" i="73"/>
  <c r="Q39" i="73"/>
  <c r="R39" i="73" s="1"/>
  <c r="P40" i="73"/>
  <c r="P13" i="72"/>
  <c r="P14" i="72"/>
  <c r="L15" i="72"/>
  <c r="L14" i="72" s="1"/>
  <c r="L13" i="72" s="1"/>
  <c r="L17" i="72" s="1"/>
  <c r="P15" i="72"/>
  <c r="P16" i="72"/>
  <c r="E8" i="71"/>
  <c r="T19" i="71" s="1"/>
  <c r="F8" i="71"/>
  <c r="G8" i="71"/>
  <c r="L8" i="71"/>
  <c r="L11" i="71" s="1"/>
  <c r="M8" i="71"/>
  <c r="N8" i="71" s="1"/>
  <c r="E9" i="71"/>
  <c r="F9" i="71"/>
  <c r="G9" i="71"/>
  <c r="L9" i="71"/>
  <c r="M9" i="71"/>
  <c r="N9" i="71"/>
  <c r="E10" i="71"/>
  <c r="T21" i="71" s="1"/>
  <c r="Y21" i="71" s="1"/>
  <c r="F10" i="71"/>
  <c r="T24" i="71" s="1"/>
  <c r="G10" i="71"/>
  <c r="G30" i="71" s="1"/>
  <c r="L10" i="71"/>
  <c r="M10" i="71"/>
  <c r="N10" i="71" s="1"/>
  <c r="G13" i="71"/>
  <c r="E17" i="71"/>
  <c r="F17" i="71"/>
  <c r="G17" i="71"/>
  <c r="H17" i="71"/>
  <c r="E20" i="71" s="1"/>
  <c r="E18" i="71"/>
  <c r="F18" i="71"/>
  <c r="G18" i="71"/>
  <c r="G19" i="71" s="1"/>
  <c r="E19" i="71"/>
  <c r="H19" i="71" s="1"/>
  <c r="H22" i="71" s="1"/>
  <c r="H23" i="71" s="1"/>
  <c r="F19" i="71"/>
  <c r="U19" i="71"/>
  <c r="V19" i="71"/>
  <c r="X19" i="71"/>
  <c r="T20" i="71"/>
  <c r="U20" i="71"/>
  <c r="V20" i="71"/>
  <c r="X20" i="71"/>
  <c r="Y20" i="71"/>
  <c r="U21" i="71"/>
  <c r="V21" i="71"/>
  <c r="X21" i="71"/>
  <c r="T22" i="71"/>
  <c r="U22" i="71"/>
  <c r="U25" i="71" s="1"/>
  <c r="V22" i="71"/>
  <c r="X22" i="71"/>
  <c r="Y22" i="71"/>
  <c r="U23" i="71"/>
  <c r="U26" i="71" s="1"/>
  <c r="V23" i="71"/>
  <c r="X23" i="71"/>
  <c r="Y23" i="71" s="1"/>
  <c r="U24" i="71"/>
  <c r="U27" i="71" s="1"/>
  <c r="V24" i="71"/>
  <c r="T25" i="71"/>
  <c r="V25" i="71"/>
  <c r="T26" i="71"/>
  <c r="V26" i="71"/>
  <c r="T27" i="71"/>
  <c r="V27" i="71"/>
  <c r="G28" i="71"/>
  <c r="E29" i="71"/>
  <c r="G29" i="71"/>
  <c r="E30" i="71"/>
  <c r="M34" i="71"/>
  <c r="M36" i="71"/>
  <c r="R40" i="73" l="1"/>
  <c r="G22" i="73"/>
  <c r="H22" i="73"/>
  <c r="I22" i="73"/>
  <c r="G23" i="73"/>
  <c r="H23" i="73"/>
  <c r="I23" i="73"/>
  <c r="G24" i="73"/>
  <c r="H24" i="73"/>
  <c r="I24" i="73"/>
  <c r="G25" i="73"/>
  <c r="H25" i="73"/>
  <c r="I25" i="73"/>
  <c r="G26" i="73"/>
  <c r="H26" i="73"/>
  <c r="I26" i="73"/>
  <c r="Q40" i="73"/>
  <c r="M13" i="72"/>
  <c r="M14" i="72"/>
  <c r="M15" i="72"/>
  <c r="M16" i="72"/>
  <c r="N16" i="72" s="1"/>
  <c r="Q13" i="72"/>
  <c r="N11" i="71"/>
  <c r="N17" i="71" s="1"/>
  <c r="N18" i="71" s="1"/>
  <c r="X26" i="71"/>
  <c r="Y26" i="71" s="1"/>
  <c r="E21" i="71"/>
  <c r="H21" i="71" s="1"/>
  <c r="H20" i="71"/>
  <c r="T28" i="71"/>
  <c r="Y19" i="71"/>
  <c r="X25" i="71"/>
  <c r="Y25" i="71" s="1"/>
  <c r="X27" i="71"/>
  <c r="Y27" i="71" s="1"/>
  <c r="O10" i="71"/>
  <c r="P10" i="71" s="1"/>
  <c r="O9" i="71"/>
  <c r="P9" i="71" s="1"/>
  <c r="U28" i="71"/>
  <c r="O8" i="71"/>
  <c r="Y29" i="71"/>
  <c r="V28" i="71"/>
  <c r="X24" i="71"/>
  <c r="Y24" i="71" s="1"/>
  <c r="W24" i="71"/>
  <c r="G20" i="71"/>
  <c r="G21" i="71" s="1"/>
  <c r="F20" i="71"/>
  <c r="F21" i="71" s="1"/>
  <c r="E28" i="71"/>
  <c r="H11" i="71"/>
  <c r="I27" i="73" l="1"/>
  <c r="I34" i="73"/>
  <c r="H27" i="73"/>
  <c r="H34" i="73"/>
  <c r="G27" i="73"/>
  <c r="G34" i="73"/>
  <c r="G35" i="73" s="1"/>
  <c r="Q16" i="72"/>
  <c r="N15" i="72"/>
  <c r="Q15" i="72"/>
  <c r="N14" i="72"/>
  <c r="Q14" i="72"/>
  <c r="Q17" i="72" s="1"/>
  <c r="R17" i="72" s="1"/>
  <c r="R18" i="72" s="1"/>
  <c r="N13" i="72"/>
  <c r="N17" i="72" s="1"/>
  <c r="M17" i="72"/>
  <c r="O11" i="71"/>
  <c r="P8" i="71"/>
  <c r="P11" i="71" s="1"/>
  <c r="W22" i="71"/>
  <c r="W23" i="71"/>
  <c r="W21" i="71"/>
  <c r="W19" i="71"/>
  <c r="W20" i="71"/>
  <c r="Y28" i="71"/>
  <c r="W26" i="71"/>
  <c r="W27" i="71"/>
  <c r="W25" i="71"/>
  <c r="H36" i="73" l="1"/>
  <c r="I37" i="73"/>
  <c r="O16" i="72"/>
  <c r="O14" i="72"/>
  <c r="O15" i="72"/>
  <c r="O13" i="72"/>
  <c r="O17" i="72" s="1"/>
  <c r="W28" i="71"/>
  <c r="W30" i="71" s="1"/>
  <c r="T6" i="70" l="1"/>
  <c r="U6" i="70"/>
  <c r="T7" i="70"/>
  <c r="U7" i="70"/>
  <c r="T8" i="70"/>
  <c r="U8" i="70"/>
  <c r="U9" i="70" s="1"/>
  <c r="U10" i="70" s="1"/>
  <c r="U11" i="70" s="1"/>
  <c r="O9" i="70"/>
  <c r="T9" i="70"/>
  <c r="O10" i="70"/>
  <c r="T10" i="70"/>
  <c r="O11" i="70"/>
  <c r="D12" i="70"/>
  <c r="E12" i="70" s="1"/>
  <c r="O12" i="70"/>
  <c r="O13" i="70"/>
  <c r="T13" i="70"/>
  <c r="T14" i="70" s="1"/>
  <c r="C14" i="70"/>
  <c r="D9" i="70" s="1"/>
  <c r="T16" i="70"/>
  <c r="C3" i="69"/>
  <c r="C6" i="69" s="1"/>
  <c r="C5" i="69"/>
  <c r="D5" i="69"/>
  <c r="E5" i="69"/>
  <c r="B6" i="69"/>
  <c r="D6" i="69"/>
  <c r="E6" i="69"/>
  <c r="B7" i="69"/>
  <c r="E7" i="69" s="1"/>
  <c r="D7" i="69"/>
  <c r="B8" i="69"/>
  <c r="E8" i="69" s="1"/>
  <c r="D8" i="69"/>
  <c r="L9" i="69"/>
  <c r="K14" i="69" s="1"/>
  <c r="K15" i="69" s="1"/>
  <c r="L10" i="69"/>
  <c r="K12" i="69"/>
  <c r="E9" i="70" l="1"/>
  <c r="P9" i="70"/>
  <c r="S7" i="70"/>
  <c r="D10" i="70"/>
  <c r="D13" i="70"/>
  <c r="P12" i="70"/>
  <c r="D11" i="70"/>
  <c r="B9" i="69"/>
  <c r="C8" i="69"/>
  <c r="C7" i="69"/>
  <c r="P11" i="70" l="1"/>
  <c r="P14" i="70" s="1"/>
  <c r="P15" i="70" s="1"/>
  <c r="E11" i="70"/>
  <c r="E14" i="70" s="1"/>
  <c r="E13" i="70"/>
  <c r="P13" i="70"/>
  <c r="P10" i="70"/>
  <c r="E10" i="70"/>
  <c r="S8" i="70"/>
  <c r="S9" i="70" s="1"/>
  <c r="S10" i="70" s="1"/>
  <c r="S11" i="70" s="1"/>
  <c r="D14" i="70"/>
  <c r="D9" i="69"/>
  <c r="E9" i="69"/>
  <c r="B10" i="69"/>
  <c r="C9" i="69"/>
  <c r="K11" i="70" l="1"/>
  <c r="L11" i="70" s="1"/>
  <c r="K10" i="70"/>
  <c r="L10" i="70" s="1"/>
  <c r="K12" i="70"/>
  <c r="L12" i="70" s="1"/>
  <c r="K9" i="70"/>
  <c r="L9" i="70" s="1"/>
  <c r="K13" i="70"/>
  <c r="L13" i="70" s="1"/>
  <c r="F9" i="70"/>
  <c r="G9" i="70"/>
  <c r="H12" i="70"/>
  <c r="G12" i="70"/>
  <c r="F12" i="70"/>
  <c r="H9" i="70"/>
  <c r="F13" i="70"/>
  <c r="G13" i="70"/>
  <c r="H13" i="70"/>
  <c r="F10" i="70"/>
  <c r="G10" i="70"/>
  <c r="H10" i="70"/>
  <c r="F11" i="70"/>
  <c r="H11" i="70"/>
  <c r="G11" i="70"/>
  <c r="D10" i="69"/>
  <c r="E10" i="69"/>
  <c r="B11" i="69"/>
  <c r="C10" i="69"/>
  <c r="H14" i="70" l="1"/>
  <c r="L14" i="70"/>
  <c r="L15" i="70" s="1"/>
  <c r="V6" i="70" s="1" a="1"/>
  <c r="V8" i="70" s="1"/>
  <c r="G14" i="70"/>
  <c r="F14" i="70"/>
  <c r="D11" i="69"/>
  <c r="E11" i="69"/>
  <c r="B12" i="69"/>
  <c r="C11" i="69"/>
  <c r="G15" i="70" l="1"/>
  <c r="V11" i="70"/>
  <c r="V6" i="70"/>
  <c r="V7" i="70"/>
  <c r="V9" i="70"/>
  <c r="V10" i="70"/>
  <c r="F15" i="70"/>
  <c r="H15" i="70" s="1"/>
  <c r="F19" i="70"/>
  <c r="E12" i="69"/>
  <c r="D12" i="69"/>
  <c r="B13" i="69"/>
  <c r="C12" i="69"/>
  <c r="D13" i="69" l="1"/>
  <c r="E13" i="69"/>
  <c r="B14" i="69"/>
  <c r="C13" i="69"/>
  <c r="B15" i="69" l="1"/>
  <c r="D14" i="69"/>
  <c r="E14" i="69"/>
  <c r="C14" i="69"/>
  <c r="D15" i="69" l="1"/>
  <c r="E15" i="69"/>
  <c r="B16" i="69"/>
  <c r="C15" i="69"/>
  <c r="D16" i="69" l="1"/>
  <c r="E16" i="69"/>
  <c r="B17" i="69"/>
  <c r="C16" i="69"/>
  <c r="D17" i="69" l="1"/>
  <c r="E17" i="69"/>
  <c r="B18" i="69"/>
  <c r="C17" i="69"/>
  <c r="E18" i="69" l="1"/>
  <c r="D18" i="69"/>
  <c r="B19" i="69"/>
  <c r="C18" i="69"/>
  <c r="D19" i="69" l="1"/>
  <c r="E19" i="69"/>
  <c r="B20" i="69"/>
  <c r="C19" i="69"/>
  <c r="D20" i="69" l="1"/>
  <c r="E20" i="69"/>
  <c r="B21" i="69"/>
  <c r="C20" i="69"/>
  <c r="D21" i="69" l="1"/>
  <c r="E21" i="69"/>
  <c r="B22" i="69"/>
  <c r="C21" i="69"/>
  <c r="D22" i="69" l="1"/>
  <c r="E22" i="69"/>
  <c r="B23" i="69"/>
  <c r="C22" i="69"/>
  <c r="E23" i="69" l="1"/>
  <c r="B24" i="69"/>
  <c r="D23" i="69"/>
  <c r="C23" i="69"/>
  <c r="C5" i="68"/>
  <c r="C6" i="68"/>
  <c r="C10" i="68" s="1"/>
  <c r="C11" i="68" s="1"/>
  <c r="C7" i="68"/>
  <c r="C8" i="68"/>
  <c r="C9" i="68"/>
  <c r="C18" i="68"/>
  <c r="C21" i="68" s="1"/>
  <c r="C22" i="68" s="1"/>
  <c r="I18" i="68"/>
  <c r="C19" i="68"/>
  <c r="I19" i="68"/>
  <c r="C20" i="68"/>
  <c r="I20" i="68"/>
  <c r="B30" i="68"/>
  <c r="C30" i="68"/>
  <c r="D30" i="68"/>
  <c r="O21" i="68" s="1"/>
  <c r="E30" i="68"/>
  <c r="G24" i="68" s="1"/>
  <c r="G30" i="68"/>
  <c r="I30" i="68"/>
  <c r="B31" i="68"/>
  <c r="I31" i="68" s="1"/>
  <c r="C31" i="68"/>
  <c r="D31" i="68"/>
  <c r="E31" i="68"/>
  <c r="G31" i="68"/>
  <c r="B32" i="68"/>
  <c r="D32" i="68" s="1"/>
  <c r="E32" i="68" s="1"/>
  <c r="C32" i="68"/>
  <c r="G32" i="68"/>
  <c r="I32" i="68"/>
  <c r="D24" i="69" l="1"/>
  <c r="E24" i="69"/>
  <c r="B25" i="69"/>
  <c r="C24" i="69"/>
  <c r="D18" i="68"/>
  <c r="E18" i="68" s="1"/>
  <c r="D19" i="68"/>
  <c r="E19" i="68" s="1"/>
  <c r="D20" i="68"/>
  <c r="E20" i="68" s="1"/>
  <c r="G23" i="68"/>
  <c r="D5" i="68"/>
  <c r="E5" i="68" s="1"/>
  <c r="D9" i="68"/>
  <c r="E9" i="68" s="1"/>
  <c r="D6" i="68"/>
  <c r="E6" i="68" s="1"/>
  <c r="D7" i="68"/>
  <c r="E7" i="68" s="1"/>
  <c r="D8" i="68"/>
  <c r="E8" i="68" s="1"/>
  <c r="D25" i="69" l="1"/>
  <c r="E25" i="69"/>
  <c r="B26" i="69"/>
  <c r="C25" i="69"/>
  <c r="E10" i="68"/>
  <c r="E21" i="68"/>
  <c r="D26" i="69" l="1"/>
  <c r="E26" i="69"/>
  <c r="B27" i="69"/>
  <c r="C26" i="69"/>
  <c r="G18" i="68"/>
  <c r="G19" i="68"/>
  <c r="G20" i="68"/>
  <c r="F6" i="68"/>
  <c r="F7" i="68"/>
  <c r="F8" i="68"/>
  <c r="F5" i="68"/>
  <c r="F9" i="68"/>
  <c r="D27" i="69" l="1"/>
  <c r="E27" i="69"/>
  <c r="B28" i="69"/>
  <c r="C27" i="69"/>
  <c r="F10" i="68"/>
  <c r="F11" i="68" s="1"/>
  <c r="E12" i="68" s="1"/>
  <c r="G21" i="68"/>
  <c r="G22" i="68" s="1"/>
  <c r="E28" i="69" l="1"/>
  <c r="D28" i="69"/>
  <c r="B29" i="69"/>
  <c r="C28" i="69"/>
  <c r="H6" i="67"/>
  <c r="K6" i="67"/>
  <c r="H7" i="67"/>
  <c r="H8" i="67"/>
  <c r="E9" i="67"/>
  <c r="F9" i="67"/>
  <c r="G9" i="67"/>
  <c r="H9" i="67"/>
  <c r="K9" i="67"/>
  <c r="K12" i="67"/>
  <c r="E30" i="67"/>
  <c r="G30" i="67"/>
  <c r="E31" i="67"/>
  <c r="G31" i="67"/>
  <c r="E32" i="67"/>
  <c r="G32" i="67"/>
  <c r="H8" i="66"/>
  <c r="L8" i="66"/>
  <c r="M8" i="66"/>
  <c r="N8" i="66" s="1"/>
  <c r="N11" i="66" s="1"/>
  <c r="H9" i="66"/>
  <c r="L9" i="66" s="1"/>
  <c r="M9" i="66"/>
  <c r="N9" i="66"/>
  <c r="H10" i="66"/>
  <c r="L10" i="66" s="1"/>
  <c r="M10" i="66"/>
  <c r="N10" i="66"/>
  <c r="E11" i="66"/>
  <c r="F11" i="66"/>
  <c r="G11" i="66"/>
  <c r="H11" i="66"/>
  <c r="G13" i="66"/>
  <c r="H6" i="65"/>
  <c r="M6" i="65" s="1"/>
  <c r="H7" i="65"/>
  <c r="M7" i="65"/>
  <c r="P7" i="65"/>
  <c r="H8" i="65"/>
  <c r="M8" i="65"/>
  <c r="P8" i="65"/>
  <c r="H9" i="65"/>
  <c r="M9" i="65"/>
  <c r="P9" i="65"/>
  <c r="P10" i="65"/>
  <c r="D29" i="69" l="1"/>
  <c r="E29" i="69"/>
  <c r="B30" i="69"/>
  <c r="C29" i="69"/>
  <c r="L11" i="66"/>
  <c r="D30" i="69" l="1"/>
  <c r="E30" i="69"/>
  <c r="B31" i="69"/>
  <c r="C30" i="69"/>
  <c r="O9" i="66"/>
  <c r="P9" i="66" s="1"/>
  <c r="O8" i="66"/>
  <c r="O10" i="66"/>
  <c r="P10" i="66" s="1"/>
  <c r="E31" i="69" l="1"/>
  <c r="B32" i="69"/>
  <c r="D31" i="69"/>
  <c r="C31" i="69"/>
  <c r="O11" i="66"/>
  <c r="P8" i="66"/>
  <c r="P11" i="66" s="1"/>
  <c r="D32" i="69" l="1"/>
  <c r="E32" i="69"/>
  <c r="B33" i="69"/>
  <c r="C32" i="69"/>
  <c r="L11" i="64"/>
  <c r="M11" i="64"/>
  <c r="L16" i="64"/>
  <c r="M16" i="64"/>
  <c r="E17" i="64"/>
  <c r="E20" i="64" s="1"/>
  <c r="E10" i="64" s="1"/>
  <c r="F17" i="64"/>
  <c r="F20" i="64" s="1"/>
  <c r="F10" i="64" s="1"/>
  <c r="G17" i="64"/>
  <c r="N20" i="64" s="1"/>
  <c r="N22" i="64" s="1"/>
  <c r="H17" i="64"/>
  <c r="E18" i="64"/>
  <c r="F18" i="64"/>
  <c r="G18" i="64"/>
  <c r="H18" i="64"/>
  <c r="H19" i="64"/>
  <c r="L21" i="64"/>
  <c r="M21" i="64"/>
  <c r="F22" i="64"/>
  <c r="F23" i="64"/>
  <c r="G23" i="64"/>
  <c r="H24" i="64"/>
  <c r="F25" i="64"/>
  <c r="G25" i="64"/>
  <c r="H26" i="64"/>
  <c r="L26" i="64"/>
  <c r="H28" i="64"/>
  <c r="E36" i="64"/>
  <c r="F36" i="64"/>
  <c r="G36" i="64"/>
  <c r="E37" i="64"/>
  <c r="F37" i="64"/>
  <c r="G37" i="64"/>
  <c r="E38" i="64"/>
  <c r="F38" i="64"/>
  <c r="G38" i="64"/>
  <c r="H38" i="64"/>
  <c r="B34" i="69" l="1"/>
  <c r="D33" i="69"/>
  <c r="E33" i="69"/>
  <c r="C33" i="69"/>
  <c r="P20" i="64"/>
  <c r="G32" i="64"/>
  <c r="G22" i="64"/>
  <c r="G31" i="64"/>
  <c r="G30" i="64"/>
  <c r="G33" i="64" s="1"/>
  <c r="N15" i="64"/>
  <c r="N17" i="64" s="1"/>
  <c r="G27" i="64"/>
  <c r="G20" i="64"/>
  <c r="G10" i="64" s="1"/>
  <c r="F27" i="64"/>
  <c r="N10" i="64"/>
  <c r="N12" i="64" s="1"/>
  <c r="D34" i="69" l="1"/>
  <c r="E34" i="69"/>
  <c r="B35" i="69"/>
  <c r="C34" i="69"/>
  <c r="F28" i="64"/>
  <c r="G28" i="64"/>
  <c r="F24" i="64"/>
  <c r="G24" i="64"/>
  <c r="F26" i="64"/>
  <c r="G26" i="64"/>
  <c r="P15" i="64"/>
  <c r="P10" i="64"/>
  <c r="E2" i="63"/>
  <c r="E5" i="63"/>
  <c r="E9" i="63" s="1"/>
  <c r="D6" i="63"/>
  <c r="D10" i="63" s="1"/>
  <c r="E6" i="63"/>
  <c r="C8" i="63"/>
  <c r="D8" i="63"/>
  <c r="C9" i="63"/>
  <c r="B10" i="63"/>
  <c r="C10" i="63" s="1"/>
  <c r="G13" i="63"/>
  <c r="H13" i="63"/>
  <c r="I13" i="63"/>
  <c r="K13" i="63"/>
  <c r="D4" i="62"/>
  <c r="D5" i="62" s="1"/>
  <c r="D10" i="62"/>
  <c r="D15" i="62"/>
  <c r="D16" i="62" s="1"/>
  <c r="D17" i="62"/>
  <c r="D21" i="62"/>
  <c r="D23" i="62" s="1"/>
  <c r="D22" i="62"/>
  <c r="D35" i="69" l="1"/>
  <c r="E35" i="69"/>
  <c r="C35" i="69"/>
  <c r="B11" i="63"/>
  <c r="E10" i="63"/>
  <c r="D9" i="63"/>
  <c r="E8" i="63"/>
  <c r="D11" i="62"/>
  <c r="D12" i="62" s="1"/>
  <c r="D26" i="62" s="1"/>
  <c r="D7" i="62"/>
  <c r="D18" i="62"/>
  <c r="B12" i="63" l="1"/>
  <c r="E11" i="63"/>
  <c r="C11" i="63"/>
  <c r="D11" i="63"/>
  <c r="D25" i="62"/>
  <c r="C12" i="63" l="1"/>
  <c r="E12" i="63"/>
  <c r="D12" i="63"/>
  <c r="B13" i="63"/>
  <c r="D13" i="63" l="1"/>
  <c r="E13" i="63"/>
  <c r="B14" i="63"/>
  <c r="C13" i="63"/>
  <c r="E14" i="63" l="1"/>
  <c r="D14" i="63"/>
  <c r="C14" i="63"/>
  <c r="B15" i="63"/>
  <c r="B16" i="63" l="1"/>
  <c r="D15" i="63"/>
  <c r="E15" i="63"/>
  <c r="C15" i="63"/>
  <c r="C16" i="63" l="1"/>
  <c r="D16" i="63"/>
  <c r="E16" i="63"/>
  <c r="B17" i="63"/>
  <c r="D17" i="63" l="1"/>
  <c r="E17" i="63"/>
  <c r="B18" i="63"/>
  <c r="C17" i="63"/>
  <c r="D18" i="63" l="1"/>
  <c r="B19" i="63"/>
  <c r="C18" i="63"/>
  <c r="E18" i="63"/>
  <c r="E19" i="63" l="1"/>
  <c r="D19" i="63"/>
  <c r="C19" i="63"/>
  <c r="B20" i="63"/>
  <c r="B21" i="63" l="1"/>
  <c r="D20" i="63"/>
  <c r="E20" i="63"/>
  <c r="E21" i="63" l="1"/>
  <c r="B22" i="63"/>
  <c r="D21" i="63"/>
  <c r="D22" i="63" l="1"/>
  <c r="E22" i="63"/>
  <c r="B23" i="63"/>
  <c r="D23" i="63" l="1"/>
  <c r="E23" i="63"/>
  <c r="B24" i="63"/>
  <c r="E24" i="63" l="1"/>
  <c r="B25" i="63"/>
  <c r="D24" i="63"/>
  <c r="D25" i="63" l="1"/>
  <c r="B26" i="63"/>
  <c r="E25" i="63"/>
  <c r="D26" i="63" l="1"/>
  <c r="E26" i="63"/>
  <c r="B27" i="63"/>
  <c r="E27" i="63" l="1"/>
  <c r="D27" i="63"/>
  <c r="B28" i="63"/>
  <c r="B29" i="63" l="1"/>
  <c r="D28" i="63"/>
  <c r="E28" i="63"/>
  <c r="D29" i="63" l="1"/>
  <c r="E29" i="63"/>
  <c r="B54" i="61" l="1"/>
  <c r="E53" i="61"/>
  <c r="D53" i="61"/>
  <c r="B52" i="61"/>
  <c r="E52" i="61" s="1"/>
  <c r="D9" i="61"/>
  <c r="D10" i="61" s="1"/>
  <c r="C9" i="61"/>
  <c r="C10" i="61" s="1"/>
  <c r="C53" i="61" s="1"/>
  <c r="D8" i="61"/>
  <c r="O26" i="60"/>
  <c r="P25" i="60"/>
  <c r="O25" i="60"/>
  <c r="Q25" i="60" s="1"/>
  <c r="R25" i="60" s="1"/>
  <c r="Q24" i="60"/>
  <c r="O24" i="60"/>
  <c r="P24" i="60" s="1"/>
  <c r="R24" i="60" s="1"/>
  <c r="J24" i="60"/>
  <c r="Q23" i="60"/>
  <c r="P23" i="60"/>
  <c r="R23" i="60" s="1"/>
  <c r="L23" i="60"/>
  <c r="K23" i="60"/>
  <c r="M23" i="60" s="1"/>
  <c r="O22" i="60"/>
  <c r="Q22" i="60" s="1"/>
  <c r="K22" i="60"/>
  <c r="J22" i="60"/>
  <c r="J21" i="60" s="1"/>
  <c r="L21" i="60"/>
  <c r="R8" i="60"/>
  <c r="Q8" i="60"/>
  <c r="P8" i="60"/>
  <c r="M8" i="60"/>
  <c r="L8" i="60"/>
  <c r="K8" i="60"/>
  <c r="Q4" i="60"/>
  <c r="L4" i="60"/>
  <c r="F29" i="59"/>
  <c r="E29" i="59"/>
  <c r="D29" i="59"/>
  <c r="C29" i="59"/>
  <c r="B11" i="59"/>
  <c r="D10" i="59"/>
  <c r="B10" i="59"/>
  <c r="F10" i="59" s="1"/>
  <c r="F9" i="59"/>
  <c r="E9" i="59"/>
  <c r="D9" i="59"/>
  <c r="C9" i="59"/>
  <c r="F8" i="59"/>
  <c r="E8" i="59"/>
  <c r="D8" i="59"/>
  <c r="C8" i="59"/>
  <c r="E30" i="58"/>
  <c r="D30" i="58"/>
  <c r="C30" i="58"/>
  <c r="C12" i="58"/>
  <c r="E12" i="58" s="1"/>
  <c r="B12" i="58"/>
  <c r="B13" i="58" s="1"/>
  <c r="E11" i="58"/>
  <c r="D11" i="58"/>
  <c r="C11" i="58"/>
  <c r="B11" i="58"/>
  <c r="E10" i="58"/>
  <c r="D10" i="58"/>
  <c r="C10" i="58"/>
  <c r="E9" i="58"/>
  <c r="D9" i="58"/>
  <c r="C9" i="58"/>
  <c r="E11" i="57"/>
  <c r="D11" i="57"/>
  <c r="B11" i="57"/>
  <c r="C11" i="57" s="1"/>
  <c r="E10" i="57"/>
  <c r="D10" i="57"/>
  <c r="C10" i="57"/>
  <c r="E9" i="57"/>
  <c r="D9" i="57"/>
  <c r="C9" i="57"/>
  <c r="E8" i="57"/>
  <c r="D8" i="57"/>
  <c r="C8" i="57"/>
  <c r="E29" i="56"/>
  <c r="B29" i="56"/>
  <c r="B28" i="56"/>
  <c r="E28" i="56" s="1"/>
  <c r="E27" i="56"/>
  <c r="D27" i="56"/>
  <c r="C27" i="56"/>
  <c r="B27" i="56"/>
  <c r="E26" i="56"/>
  <c r="D26" i="56"/>
  <c r="C26" i="56"/>
  <c r="B26" i="56"/>
  <c r="E25" i="56"/>
  <c r="D25" i="56"/>
  <c r="C25" i="56"/>
  <c r="E24" i="56"/>
  <c r="D24" i="56"/>
  <c r="B24" i="56"/>
  <c r="C24" i="56" s="1"/>
  <c r="E23" i="56"/>
  <c r="D23" i="56"/>
  <c r="C23" i="56"/>
  <c r="B23" i="56"/>
  <c r="D22" i="56"/>
  <c r="B22" i="56"/>
  <c r="E22" i="56" s="1"/>
  <c r="C21" i="56"/>
  <c r="B21" i="56"/>
  <c r="E8" i="56"/>
  <c r="D8" i="56"/>
  <c r="C8" i="56"/>
  <c r="D12" i="55"/>
  <c r="B12" i="55"/>
  <c r="B13" i="55" s="1"/>
  <c r="D11" i="55"/>
  <c r="C11" i="55"/>
  <c r="B11" i="55"/>
  <c r="E11" i="55" s="1"/>
  <c r="E10" i="55"/>
  <c r="D10" i="55"/>
  <c r="C10" i="55"/>
  <c r="E9" i="55"/>
  <c r="D9" i="55"/>
  <c r="C9" i="55"/>
  <c r="E8" i="55"/>
  <c r="D8" i="55"/>
  <c r="C8" i="55"/>
  <c r="E10" i="54"/>
  <c r="D10" i="54"/>
  <c r="C10" i="54"/>
  <c r="B10" i="54"/>
  <c r="B11" i="54" s="1"/>
  <c r="E9" i="54"/>
  <c r="D9" i="54"/>
  <c r="C9" i="54"/>
  <c r="E8" i="54"/>
  <c r="D8" i="54"/>
  <c r="C8" i="54"/>
  <c r="B21" i="53"/>
  <c r="E20" i="53"/>
  <c r="D20" i="53"/>
  <c r="C20" i="53"/>
  <c r="B20" i="53"/>
  <c r="E19" i="53"/>
  <c r="D19" i="53"/>
  <c r="C19" i="53"/>
  <c r="B18" i="53"/>
  <c r="B17" i="53" s="1"/>
  <c r="E8" i="53"/>
  <c r="D8" i="53"/>
  <c r="C8" i="53"/>
  <c r="D12" i="52"/>
  <c r="C12" i="52"/>
  <c r="B12" i="52"/>
  <c r="B13" i="52" s="1"/>
  <c r="E13" i="52" s="1"/>
  <c r="B11" i="52"/>
  <c r="C10" i="52"/>
  <c r="B10" i="52"/>
  <c r="E10" i="52" s="1"/>
  <c r="E9" i="52"/>
  <c r="D9" i="52"/>
  <c r="C9" i="52"/>
  <c r="E8" i="52"/>
  <c r="D8" i="52"/>
  <c r="C8" i="52"/>
  <c r="K32" i="51"/>
  <c r="S17" i="51"/>
  <c r="S16" i="51"/>
  <c r="F16" i="51"/>
  <c r="G15" i="51" s="1"/>
  <c r="H14" i="51" s="1"/>
  <c r="I13" i="51" s="1"/>
  <c r="J12" i="51" s="1"/>
  <c r="K11" i="51" s="1"/>
  <c r="M10" i="51" s="1"/>
  <c r="N9" i="51" s="1"/>
  <c r="O8" i="51" s="1"/>
  <c r="P7" i="51" s="1"/>
  <c r="Q6" i="51" s="1"/>
  <c r="R5" i="51" s="1"/>
  <c r="S15" i="51"/>
  <c r="S14" i="51"/>
  <c r="S13" i="51"/>
  <c r="U12" i="51"/>
  <c r="S12" i="51"/>
  <c r="W11" i="51"/>
  <c r="V11" i="51"/>
  <c r="U11" i="51"/>
  <c r="X11" i="51" s="1"/>
  <c r="S11" i="51"/>
  <c r="S10" i="51"/>
  <c r="S9" i="51"/>
  <c r="W8" i="51"/>
  <c r="V8" i="51"/>
  <c r="U8" i="51"/>
  <c r="X8" i="51" s="1"/>
  <c r="S8" i="51"/>
  <c r="S7" i="51"/>
  <c r="N7" i="51"/>
  <c r="G7" i="51"/>
  <c r="S6" i="51"/>
  <c r="B6" i="51"/>
  <c r="F17" i="51" s="1"/>
  <c r="S5" i="51"/>
  <c r="B11" i="50"/>
  <c r="E10" i="50"/>
  <c r="C10" i="50"/>
  <c r="B10" i="50"/>
  <c r="E9" i="50"/>
  <c r="C9" i="50"/>
  <c r="E8" i="50"/>
  <c r="D8" i="50"/>
  <c r="C8" i="50"/>
  <c r="E6" i="50"/>
  <c r="D6" i="50"/>
  <c r="D9" i="50" s="1"/>
  <c r="D17" i="53" l="1"/>
  <c r="C17" i="53"/>
  <c r="B16" i="53"/>
  <c r="E17" i="53"/>
  <c r="G16" i="51"/>
  <c r="H15" i="51" s="1"/>
  <c r="I14" i="51" s="1"/>
  <c r="J13" i="51" s="1"/>
  <c r="K12" i="51" s="1"/>
  <c r="M11" i="51" s="1"/>
  <c r="N10" i="51" s="1"/>
  <c r="O9" i="51" s="1"/>
  <c r="P8" i="51" s="1"/>
  <c r="Q7" i="51" s="1"/>
  <c r="R6" i="51" s="1"/>
  <c r="G17" i="51"/>
  <c r="J25" i="60"/>
  <c r="L24" i="60"/>
  <c r="K24" i="60"/>
  <c r="M24" i="60" s="1"/>
  <c r="E13" i="58"/>
  <c r="D13" i="58"/>
  <c r="C13" i="58"/>
  <c r="E11" i="50"/>
  <c r="C11" i="50"/>
  <c r="D11" i="50"/>
  <c r="D10" i="50"/>
  <c r="C11" i="54"/>
  <c r="B12" i="54"/>
  <c r="B14" i="58"/>
  <c r="B12" i="59"/>
  <c r="F11" i="59"/>
  <c r="E11" i="59"/>
  <c r="D11" i="59"/>
  <c r="C11" i="59"/>
  <c r="B12" i="50"/>
  <c r="B22" i="53"/>
  <c r="E21" i="53"/>
  <c r="D21" i="53"/>
  <c r="E12" i="52"/>
  <c r="C21" i="53"/>
  <c r="D11" i="54"/>
  <c r="E11" i="54"/>
  <c r="E21" i="56"/>
  <c r="D21" i="56"/>
  <c r="B20" i="56"/>
  <c r="O27" i="60"/>
  <c r="Q26" i="60"/>
  <c r="P26" i="60"/>
  <c r="R26" i="60" s="1"/>
  <c r="D29" i="56"/>
  <c r="C29" i="56"/>
  <c r="B30" i="56"/>
  <c r="E18" i="53"/>
  <c r="D18" i="53"/>
  <c r="C18" i="53"/>
  <c r="B55" i="61"/>
  <c r="E54" i="61"/>
  <c r="D54" i="61"/>
  <c r="C54" i="61"/>
  <c r="K21" i="60"/>
  <c r="M21" i="60" s="1"/>
  <c r="J20" i="60"/>
  <c r="B14" i="55"/>
  <c r="E13" i="55"/>
  <c r="M22" i="60"/>
  <c r="E11" i="52"/>
  <c r="D11" i="52"/>
  <c r="C11" i="52"/>
  <c r="C13" i="55"/>
  <c r="S18" i="51"/>
  <c r="B14" i="52"/>
  <c r="D13" i="52"/>
  <c r="C13" i="52"/>
  <c r="D13" i="55"/>
  <c r="B12" i="57"/>
  <c r="O21" i="60"/>
  <c r="D10" i="52"/>
  <c r="L22" i="60"/>
  <c r="B51" i="61"/>
  <c r="C22" i="56"/>
  <c r="P22" i="60"/>
  <c r="R22" i="60" s="1"/>
  <c r="C28" i="56"/>
  <c r="D12" i="58"/>
  <c r="C52" i="61"/>
  <c r="D28" i="56"/>
  <c r="D52" i="61"/>
  <c r="C12" i="55"/>
  <c r="C10" i="59"/>
  <c r="E12" i="55"/>
  <c r="E10" i="59"/>
  <c r="E12" i="54" l="1"/>
  <c r="C12" i="54"/>
  <c r="D12" i="54"/>
  <c r="B13" i="54"/>
  <c r="C14" i="52"/>
  <c r="B15" i="52"/>
  <c r="E14" i="52"/>
  <c r="D14" i="52"/>
  <c r="B15" i="58"/>
  <c r="E14" i="58"/>
  <c r="D14" i="58"/>
  <c r="C14" i="58"/>
  <c r="O28" i="60"/>
  <c r="Q27" i="60"/>
  <c r="P27" i="60"/>
  <c r="B13" i="59"/>
  <c r="F12" i="59"/>
  <c r="E12" i="59"/>
  <c r="C12" i="59"/>
  <c r="D12" i="59"/>
  <c r="B19" i="56"/>
  <c r="E20" i="56"/>
  <c r="D20" i="56"/>
  <c r="C20" i="56"/>
  <c r="L20" i="60"/>
  <c r="K20" i="60"/>
  <c r="M20" i="60" s="1"/>
  <c r="J19" i="60"/>
  <c r="E51" i="61"/>
  <c r="D51" i="61"/>
  <c r="C51" i="61"/>
  <c r="B50" i="61"/>
  <c r="J26" i="60"/>
  <c r="L25" i="60"/>
  <c r="K25" i="60"/>
  <c r="M25" i="60" s="1"/>
  <c r="E22" i="53"/>
  <c r="D22" i="53"/>
  <c r="C22" i="53"/>
  <c r="B23" i="53"/>
  <c r="D14" i="55"/>
  <c r="C14" i="55"/>
  <c r="B15" i="55"/>
  <c r="E14" i="55"/>
  <c r="H17" i="51"/>
  <c r="H16" i="51"/>
  <c r="I15" i="51" s="1"/>
  <c r="J14" i="51" s="1"/>
  <c r="K13" i="51" s="1"/>
  <c r="M12" i="51" s="1"/>
  <c r="N11" i="51" s="1"/>
  <c r="O10" i="51" s="1"/>
  <c r="P9" i="51" s="1"/>
  <c r="Q8" i="51" s="1"/>
  <c r="R7" i="51" s="1"/>
  <c r="B56" i="61"/>
  <c r="E55" i="61"/>
  <c r="D55" i="61"/>
  <c r="C55" i="61"/>
  <c r="D12" i="50"/>
  <c r="C12" i="50"/>
  <c r="B13" i="50"/>
  <c r="E12" i="50"/>
  <c r="O20" i="60"/>
  <c r="Q21" i="60"/>
  <c r="P21" i="60"/>
  <c r="B13" i="57"/>
  <c r="E12" i="57"/>
  <c r="D12" i="57"/>
  <c r="C12" i="57"/>
  <c r="E16" i="53"/>
  <c r="D16" i="53"/>
  <c r="C16" i="53"/>
  <c r="B15" i="53"/>
  <c r="B31" i="56"/>
  <c r="E30" i="56"/>
  <c r="D30" i="56"/>
  <c r="C30" i="56"/>
  <c r="C19" i="56" l="1"/>
  <c r="B18" i="56"/>
  <c r="E19" i="56"/>
  <c r="D19" i="56"/>
  <c r="E23" i="53"/>
  <c r="B24" i="53"/>
  <c r="D23" i="53"/>
  <c r="C23" i="53"/>
  <c r="B16" i="55"/>
  <c r="D15" i="55"/>
  <c r="C15" i="55"/>
  <c r="E15" i="55"/>
  <c r="B14" i="57"/>
  <c r="E13" i="57"/>
  <c r="D13" i="57"/>
  <c r="C13" i="57"/>
  <c r="B14" i="59"/>
  <c r="F13" i="59"/>
  <c r="E13" i="59"/>
  <c r="D13" i="59"/>
  <c r="C13" i="59"/>
  <c r="R21" i="60"/>
  <c r="R27" i="60"/>
  <c r="Q20" i="60"/>
  <c r="P20" i="60"/>
  <c r="R20" i="60" s="1"/>
  <c r="O19" i="60"/>
  <c r="Q28" i="60"/>
  <c r="P28" i="60"/>
  <c r="O29" i="60"/>
  <c r="L26" i="60"/>
  <c r="K26" i="60"/>
  <c r="M26" i="60" s="1"/>
  <c r="J27" i="60"/>
  <c r="E13" i="54"/>
  <c r="D13" i="54"/>
  <c r="B14" i="54"/>
  <c r="C13" i="54"/>
  <c r="B14" i="50"/>
  <c r="E13" i="50"/>
  <c r="C13" i="50"/>
  <c r="D13" i="50"/>
  <c r="E50" i="61"/>
  <c r="D50" i="61"/>
  <c r="C50" i="61"/>
  <c r="B49" i="61"/>
  <c r="B16" i="58"/>
  <c r="D15" i="58"/>
  <c r="C15" i="58"/>
  <c r="E15" i="58"/>
  <c r="J18" i="60"/>
  <c r="L19" i="60"/>
  <c r="K19" i="60"/>
  <c r="M19" i="60" s="1"/>
  <c r="E15" i="52"/>
  <c r="D15" i="52"/>
  <c r="C15" i="52"/>
  <c r="B16" i="52"/>
  <c r="B57" i="61"/>
  <c r="E56" i="61"/>
  <c r="D56" i="61"/>
  <c r="C56" i="61"/>
  <c r="B32" i="56"/>
  <c r="E31" i="56"/>
  <c r="C31" i="56"/>
  <c r="D31" i="56"/>
  <c r="B14" i="53"/>
  <c r="E15" i="53"/>
  <c r="D15" i="53"/>
  <c r="C15" i="53"/>
  <c r="I17" i="51"/>
  <c r="I16" i="51"/>
  <c r="J15" i="51" s="1"/>
  <c r="K14" i="51" s="1"/>
  <c r="M13" i="51" s="1"/>
  <c r="N12" i="51" s="1"/>
  <c r="O11" i="51" s="1"/>
  <c r="P10" i="51" s="1"/>
  <c r="Q9" i="51" s="1"/>
  <c r="R8" i="51" s="1"/>
  <c r="E14" i="50" l="1"/>
  <c r="D14" i="50"/>
  <c r="C14" i="50"/>
  <c r="B15" i="50"/>
  <c r="F14" i="59"/>
  <c r="E14" i="59"/>
  <c r="D14" i="59"/>
  <c r="C14" i="59"/>
  <c r="B15" i="59"/>
  <c r="B58" i="61"/>
  <c r="E57" i="61"/>
  <c r="D57" i="61"/>
  <c r="C57" i="61"/>
  <c r="E16" i="52"/>
  <c r="D16" i="52"/>
  <c r="B17" i="52"/>
  <c r="C16" i="52"/>
  <c r="B15" i="54"/>
  <c r="E14" i="54"/>
  <c r="C14" i="54"/>
  <c r="D14" i="54"/>
  <c r="B15" i="57"/>
  <c r="E14" i="57"/>
  <c r="D14" i="57"/>
  <c r="C14" i="57"/>
  <c r="L18" i="60"/>
  <c r="K18" i="60"/>
  <c r="M18" i="60" s="1"/>
  <c r="J17" i="60"/>
  <c r="J17" i="51"/>
  <c r="J16" i="51"/>
  <c r="K15" i="51" s="1"/>
  <c r="M14" i="51" s="1"/>
  <c r="N13" i="51" s="1"/>
  <c r="O12" i="51" s="1"/>
  <c r="P11" i="51" s="1"/>
  <c r="Q10" i="51" s="1"/>
  <c r="R9" i="51" s="1"/>
  <c r="J28" i="60"/>
  <c r="L27" i="60"/>
  <c r="K27" i="60"/>
  <c r="O30" i="60"/>
  <c r="Q29" i="60"/>
  <c r="P29" i="60"/>
  <c r="R29" i="60" s="1"/>
  <c r="R28" i="60"/>
  <c r="O18" i="60"/>
  <c r="Q19" i="60"/>
  <c r="P19" i="60"/>
  <c r="R19" i="60" s="1"/>
  <c r="B48" i="61"/>
  <c r="E49" i="61"/>
  <c r="D49" i="61"/>
  <c r="C49" i="61"/>
  <c r="D18" i="56"/>
  <c r="C18" i="56"/>
  <c r="B17" i="56"/>
  <c r="E18" i="56"/>
  <c r="B33" i="56"/>
  <c r="E32" i="56"/>
  <c r="D32" i="56"/>
  <c r="C32" i="56"/>
  <c r="B17" i="55"/>
  <c r="E16" i="55"/>
  <c r="D16" i="55"/>
  <c r="C16" i="55"/>
  <c r="B25" i="53"/>
  <c r="C24" i="53"/>
  <c r="E24" i="53"/>
  <c r="D24" i="53"/>
  <c r="B17" i="58"/>
  <c r="D16" i="58"/>
  <c r="C16" i="58"/>
  <c r="E16" i="58" s="1"/>
  <c r="E14" i="53"/>
  <c r="D14" i="53"/>
  <c r="C14" i="53"/>
  <c r="B13" i="53"/>
  <c r="B18" i="55" l="1"/>
  <c r="E17" i="55"/>
  <c r="C17" i="55"/>
  <c r="D17" i="55"/>
  <c r="B18" i="58"/>
  <c r="D17" i="58"/>
  <c r="C17" i="58"/>
  <c r="E17" i="58" s="1"/>
  <c r="D48" i="61"/>
  <c r="C48" i="61"/>
  <c r="B47" i="61"/>
  <c r="E48" i="61"/>
  <c r="P18" i="60"/>
  <c r="R18" i="60" s="1"/>
  <c r="O17" i="60"/>
  <c r="Q18" i="60"/>
  <c r="B16" i="54"/>
  <c r="D15" i="54"/>
  <c r="C15" i="54"/>
  <c r="E15" i="54"/>
  <c r="M27" i="60"/>
  <c r="B18" i="52"/>
  <c r="E17" i="52"/>
  <c r="C17" i="52"/>
  <c r="D17" i="52"/>
  <c r="C25" i="53"/>
  <c r="B26" i="53"/>
  <c r="E25" i="53"/>
  <c r="D25" i="53"/>
  <c r="Q30" i="60"/>
  <c r="P30" i="60"/>
  <c r="R30" i="60" s="1"/>
  <c r="O31" i="60"/>
  <c r="L28" i="60"/>
  <c r="K28" i="60"/>
  <c r="M28" i="60" s="1"/>
  <c r="J29" i="60"/>
  <c r="E58" i="61"/>
  <c r="D58" i="61"/>
  <c r="C58" i="61"/>
  <c r="B59" i="61"/>
  <c r="E33" i="56"/>
  <c r="D33" i="56"/>
  <c r="C33" i="56"/>
  <c r="B34" i="56"/>
  <c r="J16" i="60"/>
  <c r="L17" i="60"/>
  <c r="K17" i="60"/>
  <c r="M17" i="60" s="1"/>
  <c r="E17" i="56"/>
  <c r="D17" i="56"/>
  <c r="C17" i="56"/>
  <c r="B16" i="56"/>
  <c r="D15" i="50"/>
  <c r="B16" i="50"/>
  <c r="C15" i="50"/>
  <c r="E15" i="50"/>
  <c r="K16" i="51"/>
  <c r="M15" i="51" s="1"/>
  <c r="N14" i="51" s="1"/>
  <c r="O13" i="51" s="1"/>
  <c r="P12" i="51" s="1"/>
  <c r="Q11" i="51" s="1"/>
  <c r="R10" i="51" s="1"/>
  <c r="K17" i="51"/>
  <c r="B16" i="59"/>
  <c r="F15" i="59"/>
  <c r="E15" i="59"/>
  <c r="D15" i="59"/>
  <c r="C15" i="59"/>
  <c r="D13" i="53"/>
  <c r="E13" i="53"/>
  <c r="C13" i="53"/>
  <c r="B12" i="53"/>
  <c r="B16" i="57"/>
  <c r="D15" i="57"/>
  <c r="C15" i="57"/>
  <c r="E15" i="57"/>
  <c r="B60" i="61" l="1"/>
  <c r="E59" i="61"/>
  <c r="D59" i="61"/>
  <c r="C59" i="61"/>
  <c r="B17" i="59"/>
  <c r="F16" i="59"/>
  <c r="E16" i="59"/>
  <c r="C16" i="59"/>
  <c r="D16" i="59"/>
  <c r="C16" i="54"/>
  <c r="B17" i="54"/>
  <c r="D16" i="54"/>
  <c r="E16" i="54"/>
  <c r="M16" i="51"/>
  <c r="N15" i="51" s="1"/>
  <c r="O14" i="51" s="1"/>
  <c r="P13" i="51" s="1"/>
  <c r="Q12" i="51" s="1"/>
  <c r="R11" i="51" s="1"/>
  <c r="M17" i="51"/>
  <c r="J30" i="60"/>
  <c r="L29" i="60"/>
  <c r="K29" i="60"/>
  <c r="M29" i="60" s="1"/>
  <c r="Q17" i="60"/>
  <c r="P17" i="60"/>
  <c r="R17" i="60" s="1"/>
  <c r="O16" i="60"/>
  <c r="E16" i="50"/>
  <c r="C16" i="50"/>
  <c r="B17" i="50"/>
  <c r="D16" i="50"/>
  <c r="O32" i="60"/>
  <c r="Q31" i="60"/>
  <c r="P31" i="60"/>
  <c r="R31" i="60" s="1"/>
  <c r="E47" i="61"/>
  <c r="D47" i="61"/>
  <c r="C47" i="61"/>
  <c r="B46" i="61"/>
  <c r="E16" i="56"/>
  <c r="D16" i="56"/>
  <c r="B15" i="56"/>
  <c r="C16" i="56"/>
  <c r="B27" i="53"/>
  <c r="E26" i="53"/>
  <c r="D26" i="53"/>
  <c r="C26" i="53"/>
  <c r="D18" i="58"/>
  <c r="C18" i="58"/>
  <c r="E18" i="58" s="1"/>
  <c r="B19" i="58"/>
  <c r="D12" i="53"/>
  <c r="C12" i="53"/>
  <c r="B11" i="53"/>
  <c r="E12" i="53"/>
  <c r="D34" i="56"/>
  <c r="C34" i="56"/>
  <c r="B35" i="56"/>
  <c r="E34" i="56"/>
  <c r="C16" i="57"/>
  <c r="B17" i="57"/>
  <c r="E16" i="57"/>
  <c r="D16" i="57"/>
  <c r="K16" i="60"/>
  <c r="J15" i="60"/>
  <c r="L16" i="60"/>
  <c r="B19" i="52"/>
  <c r="D18" i="52"/>
  <c r="C18" i="52"/>
  <c r="E18" i="52"/>
  <c r="B19" i="55"/>
  <c r="E18" i="55"/>
  <c r="D18" i="55"/>
  <c r="C18" i="55"/>
  <c r="C19" i="52" l="1"/>
  <c r="B20" i="52"/>
  <c r="E19" i="52"/>
  <c r="D19" i="52"/>
  <c r="L15" i="60"/>
  <c r="K15" i="60"/>
  <c r="M15" i="60" s="1"/>
  <c r="J14" i="60"/>
  <c r="M16" i="60"/>
  <c r="E27" i="53"/>
  <c r="D27" i="53"/>
  <c r="B28" i="53"/>
  <c r="C27" i="53"/>
  <c r="J31" i="60"/>
  <c r="L30" i="60"/>
  <c r="K30" i="60"/>
  <c r="B14" i="56"/>
  <c r="E15" i="56"/>
  <c r="D15" i="56"/>
  <c r="C15" i="56"/>
  <c r="N17" i="51"/>
  <c r="N16" i="51"/>
  <c r="O15" i="51" s="1"/>
  <c r="P14" i="51" s="1"/>
  <c r="Q13" i="51" s="1"/>
  <c r="R12" i="51" s="1"/>
  <c r="E46" i="61"/>
  <c r="D46" i="61"/>
  <c r="C46" i="61"/>
  <c r="B45" i="61"/>
  <c r="E11" i="53"/>
  <c r="D11" i="53"/>
  <c r="C11" i="53"/>
  <c r="B10" i="53"/>
  <c r="O33" i="60"/>
  <c r="Q32" i="60"/>
  <c r="P32" i="60"/>
  <c r="R32" i="60" s="1"/>
  <c r="D17" i="50"/>
  <c r="C17" i="50"/>
  <c r="B18" i="50"/>
  <c r="E17" i="50"/>
  <c r="B18" i="57"/>
  <c r="E17" i="57"/>
  <c r="D17" i="57"/>
  <c r="C17" i="57"/>
  <c r="D19" i="55"/>
  <c r="C19" i="55"/>
  <c r="B20" i="55"/>
  <c r="E19" i="55"/>
  <c r="B20" i="58"/>
  <c r="D19" i="58"/>
  <c r="C19" i="58"/>
  <c r="E19" i="58" s="1"/>
  <c r="B36" i="56"/>
  <c r="E35" i="56"/>
  <c r="D35" i="56"/>
  <c r="C35" i="56"/>
  <c r="E17" i="54"/>
  <c r="C17" i="54"/>
  <c r="D17" i="54"/>
  <c r="B18" i="54"/>
  <c r="B18" i="59"/>
  <c r="F17" i="59"/>
  <c r="E17" i="59"/>
  <c r="D17" i="59"/>
  <c r="C17" i="59"/>
  <c r="O15" i="60"/>
  <c r="Q16" i="60"/>
  <c r="P16" i="60"/>
  <c r="R16" i="60" s="1"/>
  <c r="B61" i="61"/>
  <c r="E60" i="61"/>
  <c r="D60" i="61"/>
  <c r="C60" i="61"/>
  <c r="O16" i="51" l="1"/>
  <c r="P15" i="51" s="1"/>
  <c r="Q14" i="51" s="1"/>
  <c r="R13" i="51" s="1"/>
  <c r="O17" i="51"/>
  <c r="F18" i="59"/>
  <c r="E18" i="59"/>
  <c r="D18" i="59"/>
  <c r="C18" i="59"/>
  <c r="B19" i="59"/>
  <c r="B19" i="57"/>
  <c r="E18" i="57"/>
  <c r="D18" i="57"/>
  <c r="C18" i="57"/>
  <c r="C14" i="56"/>
  <c r="B13" i="56"/>
  <c r="E14" i="56"/>
  <c r="D14" i="56"/>
  <c r="E18" i="54"/>
  <c r="D18" i="54"/>
  <c r="B19" i="54"/>
  <c r="C18" i="54"/>
  <c r="B19" i="50"/>
  <c r="E18" i="50"/>
  <c r="C18" i="50"/>
  <c r="D18" i="50"/>
  <c r="M30" i="60"/>
  <c r="L31" i="60"/>
  <c r="K31" i="60"/>
  <c r="J32" i="60"/>
  <c r="Q33" i="60"/>
  <c r="P33" i="60"/>
  <c r="R33" i="60" s="1"/>
  <c r="O34" i="60"/>
  <c r="B9" i="53"/>
  <c r="D10" i="53"/>
  <c r="C10" i="53"/>
  <c r="E10" i="53"/>
  <c r="E28" i="53"/>
  <c r="B29" i="53"/>
  <c r="D28" i="53"/>
  <c r="C28" i="53"/>
  <c r="B37" i="56"/>
  <c r="E36" i="56"/>
  <c r="D36" i="56"/>
  <c r="C36" i="56"/>
  <c r="J13" i="60"/>
  <c r="L14" i="60"/>
  <c r="K14" i="60"/>
  <c r="M14" i="60" s="1"/>
  <c r="B62" i="61"/>
  <c r="E61" i="61"/>
  <c r="D61" i="61"/>
  <c r="C61" i="61"/>
  <c r="B21" i="58"/>
  <c r="D20" i="58"/>
  <c r="C20" i="58"/>
  <c r="E20" i="58"/>
  <c r="E45" i="61"/>
  <c r="D45" i="61"/>
  <c r="C45" i="61"/>
  <c r="B44" i="61"/>
  <c r="B21" i="55"/>
  <c r="D20" i="55"/>
  <c r="C20" i="55"/>
  <c r="E20" i="55"/>
  <c r="Q15" i="60"/>
  <c r="P15" i="60"/>
  <c r="R15" i="60" s="1"/>
  <c r="O14" i="60"/>
  <c r="E20" i="52"/>
  <c r="D20" i="52"/>
  <c r="C20" i="52"/>
  <c r="B21" i="52"/>
  <c r="B38" i="56" l="1"/>
  <c r="E37" i="56"/>
  <c r="D37" i="56"/>
  <c r="C37" i="56"/>
  <c r="B20" i="54"/>
  <c r="E19" i="54"/>
  <c r="C19" i="54"/>
  <c r="D19" i="54"/>
  <c r="B43" i="61"/>
  <c r="E44" i="61"/>
  <c r="D44" i="61"/>
  <c r="C44" i="61"/>
  <c r="C29" i="53"/>
  <c r="D29" i="53"/>
  <c r="E29" i="53"/>
  <c r="B22" i="55"/>
  <c r="E21" i="55"/>
  <c r="D21" i="55"/>
  <c r="C21" i="55"/>
  <c r="B20" i="57"/>
  <c r="E19" i="57"/>
  <c r="D19" i="57"/>
  <c r="C19" i="57"/>
  <c r="E19" i="50"/>
  <c r="C19" i="50"/>
  <c r="B20" i="50"/>
  <c r="D19" i="50"/>
  <c r="E21" i="52"/>
  <c r="D21" i="52"/>
  <c r="B22" i="52"/>
  <c r="C21" i="52"/>
  <c r="B20" i="59"/>
  <c r="F19" i="59"/>
  <c r="E19" i="59"/>
  <c r="D19" i="59"/>
  <c r="C19" i="59"/>
  <c r="O35" i="60"/>
  <c r="Q34" i="60"/>
  <c r="P34" i="60"/>
  <c r="R34" i="60" s="1"/>
  <c r="D13" i="56"/>
  <c r="C13" i="56"/>
  <c r="B12" i="56"/>
  <c r="E13" i="56"/>
  <c r="E9" i="53"/>
  <c r="D9" i="53"/>
  <c r="C9" i="53"/>
  <c r="B63" i="61"/>
  <c r="E62" i="61"/>
  <c r="D62" i="61"/>
  <c r="C62" i="61"/>
  <c r="M31" i="60"/>
  <c r="L13" i="60"/>
  <c r="K13" i="60"/>
  <c r="M13" i="60" s="1"/>
  <c r="J12" i="60"/>
  <c r="B22" i="58"/>
  <c r="E21" i="58"/>
  <c r="D21" i="58"/>
  <c r="C21" i="58"/>
  <c r="O13" i="60"/>
  <c r="Q14" i="60"/>
  <c r="P14" i="60"/>
  <c r="P16" i="51"/>
  <c r="Q15" i="51" s="1"/>
  <c r="R14" i="51" s="1"/>
  <c r="P17" i="51"/>
  <c r="J33" i="60"/>
  <c r="L32" i="60"/>
  <c r="K32" i="60"/>
  <c r="M32" i="60" s="1"/>
  <c r="B21" i="57" l="1"/>
  <c r="D20" i="57"/>
  <c r="C20" i="57"/>
  <c r="E20" i="57"/>
  <c r="Q35" i="60"/>
  <c r="P35" i="60"/>
  <c r="O36" i="60"/>
  <c r="B23" i="55"/>
  <c r="E22" i="55"/>
  <c r="C22" i="55"/>
  <c r="D22" i="55"/>
  <c r="B23" i="58"/>
  <c r="E22" i="58"/>
  <c r="D22" i="58"/>
  <c r="C22" i="58"/>
  <c r="J11" i="60"/>
  <c r="L12" i="60"/>
  <c r="K12" i="60"/>
  <c r="B21" i="59"/>
  <c r="F20" i="59"/>
  <c r="E20" i="59"/>
  <c r="C20" i="59"/>
  <c r="D20" i="59"/>
  <c r="B23" i="52"/>
  <c r="D22" i="52"/>
  <c r="C22" i="52"/>
  <c r="E22" i="52"/>
  <c r="D43" i="61"/>
  <c r="C43" i="61"/>
  <c r="B42" i="61"/>
  <c r="E43" i="61"/>
  <c r="E63" i="61"/>
  <c r="D63" i="61"/>
  <c r="C63" i="61"/>
  <c r="B64" i="61"/>
  <c r="B21" i="50"/>
  <c r="D20" i="50"/>
  <c r="E20" i="50"/>
  <c r="B21" i="54"/>
  <c r="D20" i="54"/>
  <c r="C20" i="54"/>
  <c r="E20" i="54"/>
  <c r="L33" i="60"/>
  <c r="K33" i="60"/>
  <c r="M33" i="60" s="1"/>
  <c r="J34" i="60"/>
  <c r="Q16" i="51"/>
  <c r="R15" i="51" s="1"/>
  <c r="Q17" i="51"/>
  <c r="E12" i="56"/>
  <c r="D12" i="56"/>
  <c r="C12" i="56"/>
  <c r="B11" i="56"/>
  <c r="P13" i="60"/>
  <c r="R13" i="60" s="1"/>
  <c r="O12" i="60"/>
  <c r="Q13" i="60"/>
  <c r="R14" i="60"/>
  <c r="E38" i="56"/>
  <c r="D38" i="56"/>
  <c r="C38" i="56"/>
  <c r="B39" i="56"/>
  <c r="D39" i="56" l="1"/>
  <c r="C39" i="56"/>
  <c r="B40" i="56"/>
  <c r="E39" i="56"/>
  <c r="K11" i="60"/>
  <c r="J10" i="60"/>
  <c r="L11" i="60"/>
  <c r="B65" i="61"/>
  <c r="E64" i="61"/>
  <c r="D64" i="61"/>
  <c r="C64" i="61"/>
  <c r="B22" i="59"/>
  <c r="F21" i="59"/>
  <c r="E21" i="59"/>
  <c r="D21" i="59"/>
  <c r="C21" i="59"/>
  <c r="E21" i="50"/>
  <c r="B22" i="50"/>
  <c r="D21" i="50"/>
  <c r="M12" i="60"/>
  <c r="R35" i="60"/>
  <c r="Q12" i="60"/>
  <c r="P12" i="60"/>
  <c r="R12" i="60" s="1"/>
  <c r="O11" i="60"/>
  <c r="C21" i="54"/>
  <c r="E21" i="54"/>
  <c r="D21" i="54"/>
  <c r="E42" i="61"/>
  <c r="D42" i="61"/>
  <c r="C42" i="61"/>
  <c r="B41" i="61"/>
  <c r="R16" i="51"/>
  <c r="R17" i="51"/>
  <c r="J35" i="60"/>
  <c r="L34" i="60"/>
  <c r="K34" i="60"/>
  <c r="M34" i="60" s="1"/>
  <c r="D23" i="58"/>
  <c r="C23" i="58"/>
  <c r="E23" i="58" s="1"/>
  <c r="B24" i="58"/>
  <c r="E11" i="56"/>
  <c r="D11" i="56"/>
  <c r="B10" i="56"/>
  <c r="C11" i="56"/>
  <c r="B24" i="55"/>
  <c r="E23" i="55"/>
  <c r="C23" i="55"/>
  <c r="D23" i="55"/>
  <c r="O37" i="60"/>
  <c r="Q36" i="60"/>
  <c r="P36" i="60"/>
  <c r="B24" i="52"/>
  <c r="D23" i="52"/>
  <c r="C23" i="52"/>
  <c r="E23" i="52"/>
  <c r="C21" i="57"/>
  <c r="B22" i="57"/>
  <c r="E21" i="57"/>
  <c r="D21" i="57"/>
  <c r="B25" i="58" l="1"/>
  <c r="D24" i="58"/>
  <c r="C24" i="58"/>
  <c r="E24" i="58" s="1"/>
  <c r="B23" i="57"/>
  <c r="E22" i="57"/>
  <c r="D22" i="57"/>
  <c r="C22" i="57"/>
  <c r="J36" i="60"/>
  <c r="L35" i="60"/>
  <c r="K35" i="60"/>
  <c r="M35" i="60" s="1"/>
  <c r="F22" i="59"/>
  <c r="E22" i="59"/>
  <c r="D22" i="59"/>
  <c r="C22" i="59"/>
  <c r="B23" i="59"/>
  <c r="Q37" i="60"/>
  <c r="P37" i="60"/>
  <c r="R37" i="60" s="1"/>
  <c r="B23" i="50"/>
  <c r="D22" i="50"/>
  <c r="E22" i="50"/>
  <c r="C24" i="52"/>
  <c r="B25" i="52"/>
  <c r="E24" i="52"/>
  <c r="D24" i="52"/>
  <c r="O10" i="60"/>
  <c r="Q11" i="60"/>
  <c r="P11" i="60"/>
  <c r="R11" i="60" s="1"/>
  <c r="B66" i="61"/>
  <c r="E65" i="61"/>
  <c r="D65" i="61"/>
  <c r="C65" i="61"/>
  <c r="L10" i="60"/>
  <c r="K10" i="60"/>
  <c r="J9" i="60"/>
  <c r="B9" i="56"/>
  <c r="E10" i="56"/>
  <c r="D10" i="56"/>
  <c r="C10" i="56"/>
  <c r="B41" i="56"/>
  <c r="E40" i="56"/>
  <c r="D40" i="56"/>
  <c r="C40" i="56"/>
  <c r="M11" i="60"/>
  <c r="R36" i="60"/>
  <c r="E41" i="61"/>
  <c r="D41" i="61"/>
  <c r="C41" i="61"/>
  <c r="B40" i="61"/>
  <c r="D24" i="55"/>
  <c r="C24" i="55"/>
  <c r="B25" i="55"/>
  <c r="E24" i="55"/>
  <c r="E41" i="56" l="1"/>
  <c r="C41" i="56"/>
  <c r="D41" i="56"/>
  <c r="B24" i="59"/>
  <c r="F23" i="59"/>
  <c r="E23" i="59"/>
  <c r="D23" i="59"/>
  <c r="C23" i="59"/>
  <c r="B26" i="55"/>
  <c r="D25" i="55"/>
  <c r="C25" i="55"/>
  <c r="E25" i="55"/>
  <c r="D23" i="50"/>
  <c r="E23" i="50"/>
  <c r="B24" i="50"/>
  <c r="B67" i="61"/>
  <c r="E66" i="61"/>
  <c r="D66" i="61"/>
  <c r="C66" i="61"/>
  <c r="M10" i="60"/>
  <c r="L36" i="60"/>
  <c r="K36" i="60"/>
  <c r="M36" i="60" s="1"/>
  <c r="J37" i="60"/>
  <c r="C9" i="56"/>
  <c r="E9" i="56"/>
  <c r="D9" i="56"/>
  <c r="L9" i="60"/>
  <c r="K9" i="60"/>
  <c r="M9" i="60" s="1"/>
  <c r="E40" i="61"/>
  <c r="D40" i="61"/>
  <c r="C40" i="61"/>
  <c r="B39" i="61"/>
  <c r="Q10" i="60"/>
  <c r="P10" i="60"/>
  <c r="O9" i="60"/>
  <c r="B24" i="57"/>
  <c r="E23" i="57"/>
  <c r="D23" i="57"/>
  <c r="C23" i="57"/>
  <c r="E25" i="52"/>
  <c r="C25" i="52"/>
  <c r="D25" i="52"/>
  <c r="B26" i="52"/>
  <c r="B26" i="58"/>
  <c r="D25" i="58"/>
  <c r="C25" i="58"/>
  <c r="E25" i="58"/>
  <c r="B25" i="57" l="1"/>
  <c r="E24" i="57"/>
  <c r="D24" i="57"/>
  <c r="C24" i="57"/>
  <c r="E24" i="50"/>
  <c r="B25" i="50"/>
  <c r="D24" i="50"/>
  <c r="B27" i="55"/>
  <c r="E26" i="55"/>
  <c r="D26" i="55"/>
  <c r="C26" i="55"/>
  <c r="B68" i="61"/>
  <c r="E67" i="61"/>
  <c r="D67" i="61"/>
  <c r="C67" i="61"/>
  <c r="B38" i="61"/>
  <c r="E39" i="61"/>
  <c r="D39" i="61"/>
  <c r="C39" i="61"/>
  <c r="R10" i="60"/>
  <c r="E26" i="52"/>
  <c r="D26" i="52"/>
  <c r="B27" i="52"/>
  <c r="C26" i="52"/>
  <c r="L37" i="60"/>
  <c r="K37" i="60"/>
  <c r="M37" i="60" s="1"/>
  <c r="Q9" i="60"/>
  <c r="P9" i="60"/>
  <c r="R9" i="60" s="1"/>
  <c r="B27" i="58"/>
  <c r="D26" i="58"/>
  <c r="E26" i="58" s="1"/>
  <c r="C26" i="58"/>
  <c r="B25" i="59"/>
  <c r="F24" i="59"/>
  <c r="E24" i="59"/>
  <c r="C24" i="59"/>
  <c r="D24" i="59"/>
  <c r="D38" i="61" l="1"/>
  <c r="C38" i="61"/>
  <c r="B37" i="61"/>
  <c r="E38" i="61"/>
  <c r="B26" i="59"/>
  <c r="F25" i="59"/>
  <c r="E25" i="59"/>
  <c r="D25" i="59"/>
  <c r="C25" i="59"/>
  <c r="B28" i="58"/>
  <c r="E27" i="58"/>
  <c r="D27" i="58"/>
  <c r="C27" i="58"/>
  <c r="E68" i="61"/>
  <c r="D68" i="61"/>
  <c r="C68" i="61"/>
  <c r="B69" i="61"/>
  <c r="D25" i="50"/>
  <c r="E25" i="50"/>
  <c r="B26" i="50"/>
  <c r="B28" i="52"/>
  <c r="E27" i="52"/>
  <c r="D27" i="52"/>
  <c r="C27" i="52"/>
  <c r="B28" i="55"/>
  <c r="E27" i="55"/>
  <c r="C27" i="55"/>
  <c r="D27" i="55"/>
  <c r="B26" i="57"/>
  <c r="D25" i="57"/>
  <c r="C25" i="57"/>
  <c r="E25" i="57"/>
  <c r="E26" i="50" l="1"/>
  <c r="D26" i="50"/>
  <c r="B27" i="50"/>
  <c r="C26" i="57"/>
  <c r="B27" i="57"/>
  <c r="E26" i="57"/>
  <c r="D26" i="57"/>
  <c r="E37" i="61"/>
  <c r="D37" i="61"/>
  <c r="C37" i="61"/>
  <c r="B36" i="61"/>
  <c r="B29" i="55"/>
  <c r="E28" i="55"/>
  <c r="C28" i="55"/>
  <c r="D28" i="55"/>
  <c r="B70" i="61"/>
  <c r="E69" i="61"/>
  <c r="D69" i="61"/>
  <c r="C69" i="61"/>
  <c r="E28" i="58"/>
  <c r="D28" i="58"/>
  <c r="C28" i="58"/>
  <c r="B29" i="58"/>
  <c r="F26" i="59"/>
  <c r="E26" i="59"/>
  <c r="D26" i="59"/>
  <c r="C26" i="59"/>
  <c r="B27" i="59"/>
  <c r="B29" i="52"/>
  <c r="D28" i="52"/>
  <c r="C28" i="52"/>
  <c r="E28" i="52"/>
  <c r="B71" i="61" l="1"/>
  <c r="E70" i="61"/>
  <c r="D70" i="61"/>
  <c r="C70" i="61"/>
  <c r="D29" i="55"/>
  <c r="C29" i="55"/>
  <c r="B30" i="55"/>
  <c r="E29" i="55"/>
  <c r="B28" i="59"/>
  <c r="F27" i="59"/>
  <c r="E27" i="59"/>
  <c r="D27" i="59"/>
  <c r="C27" i="59"/>
  <c r="E29" i="58"/>
  <c r="D29" i="58"/>
  <c r="C29" i="58"/>
  <c r="B28" i="50"/>
  <c r="D27" i="50"/>
  <c r="E27" i="50"/>
  <c r="E36" i="61"/>
  <c r="D36" i="61"/>
  <c r="C36" i="61"/>
  <c r="B35" i="61"/>
  <c r="C29" i="52"/>
  <c r="D29" i="52"/>
  <c r="E29" i="52"/>
  <c r="B28" i="57"/>
  <c r="E27" i="57"/>
  <c r="D27" i="57"/>
  <c r="C27" i="57"/>
  <c r="B29" i="50" l="1"/>
  <c r="D28" i="50"/>
  <c r="E28" i="50"/>
  <c r="B31" i="55"/>
  <c r="D30" i="55"/>
  <c r="C30" i="55"/>
  <c r="E30" i="55"/>
  <c r="F28" i="59"/>
  <c r="E28" i="59"/>
  <c r="C28" i="59"/>
  <c r="D28" i="59"/>
  <c r="B29" i="57"/>
  <c r="E28" i="57"/>
  <c r="D28" i="57"/>
  <c r="C28" i="57"/>
  <c r="E35" i="61"/>
  <c r="D35" i="61"/>
  <c r="C35" i="61"/>
  <c r="B34" i="61"/>
  <c r="B72" i="61"/>
  <c r="E71" i="61"/>
  <c r="D71" i="61"/>
  <c r="C71" i="61"/>
  <c r="B73" i="61" l="1"/>
  <c r="E72" i="61"/>
  <c r="D72" i="61"/>
  <c r="C72" i="61"/>
  <c r="B33" i="61"/>
  <c r="E34" i="61"/>
  <c r="D34" i="61"/>
  <c r="C34" i="61"/>
  <c r="B30" i="57"/>
  <c r="E29" i="57"/>
  <c r="D29" i="57"/>
  <c r="C29" i="57"/>
  <c r="B32" i="55"/>
  <c r="E31" i="55"/>
  <c r="D31" i="55"/>
  <c r="C31" i="55"/>
  <c r="E29" i="50"/>
  <c r="D29" i="50"/>
  <c r="D33" i="61" l="1"/>
  <c r="C33" i="61"/>
  <c r="B32" i="61"/>
  <c r="E33" i="61"/>
  <c r="B33" i="55"/>
  <c r="E32" i="55"/>
  <c r="C32" i="55"/>
  <c r="D32" i="55"/>
  <c r="B31" i="57"/>
  <c r="D30" i="57"/>
  <c r="C30" i="57"/>
  <c r="E30" i="57"/>
  <c r="E73" i="61"/>
  <c r="D73" i="61"/>
  <c r="C73" i="61"/>
  <c r="B74" i="61"/>
  <c r="C31" i="57" l="1"/>
  <c r="B32" i="57"/>
  <c r="E31" i="57"/>
  <c r="D31" i="57"/>
  <c r="B75" i="61"/>
  <c r="E74" i="61"/>
  <c r="D74" i="61"/>
  <c r="C74" i="61"/>
  <c r="B34" i="55"/>
  <c r="E33" i="55"/>
  <c r="D33" i="55"/>
  <c r="C33" i="55"/>
  <c r="E32" i="61"/>
  <c r="D32" i="61"/>
  <c r="C32" i="61"/>
  <c r="B31" i="61"/>
  <c r="D34" i="55" l="1"/>
  <c r="C34" i="55"/>
  <c r="B35" i="55"/>
  <c r="E34" i="55"/>
  <c r="E31" i="61"/>
  <c r="D31" i="61"/>
  <c r="C31" i="61"/>
  <c r="B30" i="61"/>
  <c r="B33" i="57"/>
  <c r="E32" i="57"/>
  <c r="D32" i="57"/>
  <c r="C32" i="57"/>
  <c r="B76" i="61"/>
  <c r="E75" i="61"/>
  <c r="D75" i="61"/>
  <c r="C75" i="61"/>
  <c r="E30" i="61" l="1"/>
  <c r="D30" i="61"/>
  <c r="C30" i="61"/>
  <c r="B29" i="61"/>
  <c r="B77" i="61"/>
  <c r="E76" i="61"/>
  <c r="D76" i="61"/>
  <c r="C76" i="61"/>
  <c r="B34" i="57"/>
  <c r="E33" i="57"/>
  <c r="D33" i="57"/>
  <c r="C33" i="57"/>
  <c r="B36" i="55"/>
  <c r="D35" i="55"/>
  <c r="C35" i="55"/>
  <c r="E35" i="55"/>
  <c r="B37" i="55" l="1"/>
  <c r="E36" i="55"/>
  <c r="D36" i="55"/>
  <c r="C36" i="55"/>
  <c r="B35" i="57"/>
  <c r="E34" i="57"/>
  <c r="D34" i="57"/>
  <c r="C34" i="57"/>
  <c r="B78" i="61"/>
  <c r="E77" i="61"/>
  <c r="D77" i="61"/>
  <c r="C77" i="61"/>
  <c r="B28" i="61"/>
  <c r="E29" i="61"/>
  <c r="D29" i="61"/>
  <c r="C29" i="61"/>
  <c r="D28" i="61" l="1"/>
  <c r="C28" i="61"/>
  <c r="B27" i="61"/>
  <c r="E28" i="61"/>
  <c r="E78" i="61"/>
  <c r="D78" i="61"/>
  <c r="C78" i="61"/>
  <c r="B79" i="61"/>
  <c r="B36" i="57"/>
  <c r="D35" i="57"/>
  <c r="C35" i="57"/>
  <c r="E35" i="57"/>
  <c r="B38" i="55"/>
  <c r="E37" i="55"/>
  <c r="C37" i="55"/>
  <c r="D37" i="55"/>
  <c r="B39" i="55" l="1"/>
  <c r="E38" i="55"/>
  <c r="D38" i="55"/>
  <c r="C38" i="55"/>
  <c r="C36" i="57"/>
  <c r="B37" i="57"/>
  <c r="E36" i="57"/>
  <c r="D36" i="57"/>
  <c r="B80" i="61"/>
  <c r="E79" i="61"/>
  <c r="D79" i="61"/>
  <c r="C79" i="61"/>
  <c r="E27" i="61"/>
  <c r="D27" i="61"/>
  <c r="C27" i="61"/>
  <c r="B26" i="61"/>
  <c r="E26" i="61" l="1"/>
  <c r="D26" i="61"/>
  <c r="C26" i="61"/>
  <c r="B25" i="61"/>
  <c r="B81" i="61"/>
  <c r="E80" i="61"/>
  <c r="D80" i="61"/>
  <c r="C80" i="61"/>
  <c r="B38" i="57"/>
  <c r="E37" i="57"/>
  <c r="D37" i="57"/>
  <c r="C37" i="57"/>
  <c r="D39" i="55"/>
  <c r="C39" i="55"/>
  <c r="B40" i="55"/>
  <c r="E39" i="55"/>
  <c r="B41" i="55" l="1"/>
  <c r="E40" i="55"/>
  <c r="D40" i="55"/>
  <c r="C40" i="55"/>
  <c r="B39" i="57"/>
  <c r="E38" i="57"/>
  <c r="D38" i="57"/>
  <c r="C38" i="57"/>
  <c r="B82" i="61"/>
  <c r="E81" i="61"/>
  <c r="D81" i="61"/>
  <c r="C81" i="61"/>
  <c r="E25" i="61"/>
  <c r="D25" i="61"/>
  <c r="C25" i="61"/>
  <c r="B24" i="61"/>
  <c r="B23" i="61" l="1"/>
  <c r="E24" i="61"/>
  <c r="D24" i="61"/>
  <c r="C24" i="61"/>
  <c r="B83" i="61"/>
  <c r="E82" i="61"/>
  <c r="D82" i="61"/>
  <c r="C82" i="61"/>
  <c r="B40" i="57"/>
  <c r="E39" i="57"/>
  <c r="D39" i="57"/>
  <c r="C39" i="57"/>
  <c r="E41" i="55"/>
  <c r="D41" i="55"/>
  <c r="C41" i="55"/>
  <c r="B41" i="57" l="1"/>
  <c r="E40" i="57"/>
  <c r="D40" i="57"/>
  <c r="C40" i="57"/>
  <c r="E83" i="61"/>
  <c r="D83" i="61"/>
  <c r="C83" i="61"/>
  <c r="B84" i="61"/>
  <c r="D23" i="61"/>
  <c r="C23" i="61"/>
  <c r="B22" i="61"/>
  <c r="E23" i="61"/>
  <c r="E22" i="61" l="1"/>
  <c r="D22" i="61"/>
  <c r="C22" i="61"/>
  <c r="B21" i="61"/>
  <c r="B85" i="61"/>
  <c r="E84" i="61"/>
  <c r="D84" i="61"/>
  <c r="C84" i="61"/>
  <c r="C41" i="57"/>
  <c r="E41" i="57"/>
  <c r="D41" i="57"/>
  <c r="E21" i="61" l="1"/>
  <c r="D21" i="61"/>
  <c r="C21" i="61"/>
  <c r="B20" i="61"/>
  <c r="B86" i="61"/>
  <c r="E85" i="61"/>
  <c r="D85" i="61"/>
  <c r="C85" i="61"/>
  <c r="B87" i="61" l="1"/>
  <c r="E86" i="61"/>
  <c r="D86" i="61"/>
  <c r="C86" i="61"/>
  <c r="E20" i="61"/>
  <c r="D20" i="61"/>
  <c r="C20" i="61"/>
  <c r="B19" i="61"/>
  <c r="B18" i="61" l="1"/>
  <c r="E19" i="61"/>
  <c r="D19" i="61"/>
  <c r="C19" i="61"/>
  <c r="B88" i="61"/>
  <c r="E87" i="61"/>
  <c r="D87" i="61"/>
  <c r="C87" i="61"/>
  <c r="E88" i="61" l="1"/>
  <c r="D88" i="61"/>
  <c r="C88" i="61"/>
  <c r="B89" i="61"/>
  <c r="D18" i="61"/>
  <c r="C18" i="61"/>
  <c r="B17" i="61"/>
  <c r="E18" i="61"/>
  <c r="E17" i="61" l="1"/>
  <c r="D17" i="61"/>
  <c r="C17" i="61"/>
  <c r="B16" i="61"/>
  <c r="B90" i="61"/>
  <c r="E89" i="61"/>
  <c r="D89" i="61"/>
  <c r="C89" i="61"/>
  <c r="B91" i="61" l="1"/>
  <c r="E90" i="61"/>
  <c r="D90" i="61"/>
  <c r="C90" i="61"/>
  <c r="E16" i="61"/>
  <c r="D16" i="61"/>
  <c r="C16" i="61"/>
  <c r="B15" i="61"/>
  <c r="E15" i="61" l="1"/>
  <c r="C15" i="61"/>
  <c r="B14" i="61"/>
  <c r="D15" i="61"/>
  <c r="B92" i="61"/>
  <c r="E91" i="61"/>
  <c r="D91" i="61"/>
  <c r="C91" i="61"/>
  <c r="B93" i="61" l="1"/>
  <c r="E92" i="61"/>
  <c r="D92" i="61"/>
  <c r="C92" i="61"/>
  <c r="B13" i="61"/>
  <c r="E14" i="61"/>
  <c r="D14" i="61"/>
  <c r="C14" i="61"/>
  <c r="D13" i="61" l="1"/>
  <c r="C13" i="61"/>
  <c r="E13" i="61"/>
  <c r="E93" i="61"/>
  <c r="D93" i="61"/>
  <c r="C93" i="61"/>
  <c r="I25" i="11" l="1"/>
  <c r="C8" i="49"/>
  <c r="M7" i="49"/>
  <c r="H7" i="49"/>
  <c r="D111" i="48"/>
  <c r="C111" i="48"/>
  <c r="C110" i="48"/>
  <c r="C107" i="48"/>
  <c r="C108" i="48" s="1"/>
  <c r="C81" i="48"/>
  <c r="C82" i="48" s="1"/>
  <c r="H80" i="48"/>
  <c r="H81" i="48" s="1"/>
  <c r="C116" i="48" s="1"/>
  <c r="C80" i="48"/>
  <c r="E80" i="48" s="1"/>
  <c r="E79" i="48"/>
  <c r="D79" i="48"/>
  <c r="C79" i="48"/>
  <c r="G78" i="48"/>
  <c r="D75" i="48"/>
  <c r="E40" i="48"/>
  <c r="C40" i="48"/>
  <c r="C41" i="48" s="1"/>
  <c r="E11" i="48"/>
  <c r="C11" i="48"/>
  <c r="C12" i="48" s="1"/>
  <c r="C13" i="48" s="1"/>
  <c r="I5" i="48"/>
  <c r="H5" i="48"/>
  <c r="C30" i="48" s="1"/>
  <c r="E30" i="48" s="1"/>
  <c r="D111" i="47"/>
  <c r="C111" i="47"/>
  <c r="C110" i="47"/>
  <c r="C108" i="47"/>
  <c r="C107" i="47"/>
  <c r="H80" i="47"/>
  <c r="E79" i="47"/>
  <c r="D79" i="47"/>
  <c r="C79" i="47"/>
  <c r="C80" i="47" s="1"/>
  <c r="G78" i="47"/>
  <c r="D75" i="47"/>
  <c r="D40" i="47"/>
  <c r="C40" i="47"/>
  <c r="C41" i="47" s="1"/>
  <c r="C11" i="47"/>
  <c r="I5" i="47"/>
  <c r="H5" i="47"/>
  <c r="R5" i="47" s="1"/>
  <c r="G20" i="46"/>
  <c r="F20" i="46"/>
  <c r="G18" i="46"/>
  <c r="F18" i="46"/>
  <c r="G10" i="46"/>
  <c r="F10" i="46"/>
  <c r="G8" i="46"/>
  <c r="F8" i="46"/>
  <c r="E5" i="46"/>
  <c r="F5" i="46" s="1"/>
  <c r="G4" i="46"/>
  <c r="F4" i="46"/>
  <c r="F26" i="44"/>
  <c r="S16" i="44"/>
  <c r="S14" i="44"/>
  <c r="S13" i="44"/>
  <c r="C13" i="44"/>
  <c r="D12" i="44"/>
  <c r="C12" i="44"/>
  <c r="C11" i="44"/>
  <c r="S10" i="44"/>
  <c r="C10" i="44"/>
  <c r="S9" i="44"/>
  <c r="C9" i="44"/>
  <c r="S8" i="44"/>
  <c r="T7" i="44"/>
  <c r="T8" i="44" s="1"/>
  <c r="T9" i="44" s="1"/>
  <c r="T10" i="44" s="1"/>
  <c r="T11" i="44" s="1"/>
  <c r="S7" i="44"/>
  <c r="R7" i="44"/>
  <c r="R8" i="44" s="1"/>
  <c r="S6" i="44"/>
  <c r="T6" i="44" s="1"/>
  <c r="F26" i="43"/>
  <c r="S16" i="43"/>
  <c r="S13" i="43"/>
  <c r="C11" i="43" s="1"/>
  <c r="S10" i="43"/>
  <c r="S9" i="43"/>
  <c r="S8" i="43"/>
  <c r="S7" i="43"/>
  <c r="T6" i="43"/>
  <c r="T7" i="43" s="1"/>
  <c r="T8" i="43" s="1"/>
  <c r="T9" i="43" s="1"/>
  <c r="T10" i="43" s="1"/>
  <c r="T11" i="43" s="1"/>
  <c r="S6" i="43"/>
  <c r="F26" i="42"/>
  <c r="S16" i="42"/>
  <c r="S13" i="42"/>
  <c r="C13" i="42" s="1"/>
  <c r="C11" i="42"/>
  <c r="S10" i="42"/>
  <c r="S9" i="42"/>
  <c r="C9" i="42"/>
  <c r="R7" i="42" s="1"/>
  <c r="S8" i="42"/>
  <c r="S7" i="42"/>
  <c r="S6" i="42"/>
  <c r="T6" i="42" s="1"/>
  <c r="F26" i="41"/>
  <c r="S16" i="41"/>
  <c r="S14" i="41"/>
  <c r="S13" i="41"/>
  <c r="C11" i="41" s="1"/>
  <c r="C13" i="41"/>
  <c r="C12" i="41"/>
  <c r="S10" i="41"/>
  <c r="C10" i="41"/>
  <c r="S9" i="41"/>
  <c r="S8" i="41"/>
  <c r="T7" i="41"/>
  <c r="T8" i="41" s="1"/>
  <c r="T9" i="41" s="1"/>
  <c r="T10" i="41" s="1"/>
  <c r="T11" i="41" s="1"/>
  <c r="S7" i="41"/>
  <c r="T6" i="41"/>
  <c r="S6" i="41"/>
  <c r="F26" i="40"/>
  <c r="S16" i="40"/>
  <c r="S13" i="40"/>
  <c r="C11" i="40"/>
  <c r="S10" i="40"/>
  <c r="S9" i="40"/>
  <c r="S8" i="40"/>
  <c r="S7" i="40"/>
  <c r="T6" i="40"/>
  <c r="T7" i="40" s="1"/>
  <c r="T8" i="40" s="1"/>
  <c r="T9" i="40" s="1"/>
  <c r="T10" i="40" s="1"/>
  <c r="T11" i="40" s="1"/>
  <c r="S6" i="40"/>
  <c r="F26" i="39"/>
  <c r="S16" i="39"/>
  <c r="S14" i="39"/>
  <c r="S13" i="39"/>
  <c r="C13" i="39"/>
  <c r="C12" i="39"/>
  <c r="C11" i="39"/>
  <c r="S10" i="39"/>
  <c r="C10" i="39"/>
  <c r="D10" i="39" s="1"/>
  <c r="S9" i="39"/>
  <c r="C9" i="39"/>
  <c r="S8" i="39"/>
  <c r="T7" i="39"/>
  <c r="S7" i="39"/>
  <c r="R7" i="39"/>
  <c r="T6" i="39"/>
  <c r="S6" i="39"/>
  <c r="F10" i="36"/>
  <c r="F8" i="36" s="1"/>
  <c r="F16" i="36" s="1"/>
  <c r="E10" i="36"/>
  <c r="E8" i="36"/>
  <c r="J14" i="35"/>
  <c r="F14" i="35"/>
  <c r="L7" i="35" s="1"/>
  <c r="L9" i="35" s="1"/>
  <c r="E14" i="35"/>
  <c r="L13" i="35"/>
  <c r="F13" i="35"/>
  <c r="F17" i="35" s="1"/>
  <c r="E13" i="35"/>
  <c r="E10" i="35"/>
  <c r="E9" i="35"/>
  <c r="J8" i="35"/>
  <c r="G8" i="35"/>
  <c r="F8" i="35"/>
  <c r="E8" i="35" s="1"/>
  <c r="I53" i="34"/>
  <c r="H53" i="34"/>
  <c r="F53" i="34"/>
  <c r="C56" i="34" s="1"/>
  <c r="I52" i="34"/>
  <c r="C55" i="34" s="1"/>
  <c r="I51" i="34"/>
  <c r="I50" i="34"/>
  <c r="C41" i="34"/>
  <c r="H34" i="34"/>
  <c r="G34" i="34"/>
  <c r="F34" i="34"/>
  <c r="H33" i="34"/>
  <c r="G33" i="34"/>
  <c r="F33" i="34"/>
  <c r="I33" i="34" s="1"/>
  <c r="C40" i="34" s="1"/>
  <c r="I32" i="34"/>
  <c r="H32" i="34"/>
  <c r="H35" i="34" s="1"/>
  <c r="G32" i="34"/>
  <c r="F32" i="34"/>
  <c r="H23" i="34"/>
  <c r="G23" i="34"/>
  <c r="F23" i="34"/>
  <c r="H22" i="34"/>
  <c r="H21" i="34"/>
  <c r="H20" i="34"/>
  <c r="G20" i="34"/>
  <c r="F20" i="34"/>
  <c r="V19" i="34"/>
  <c r="U19" i="34"/>
  <c r="H19" i="34"/>
  <c r="G19" i="34"/>
  <c r="F19" i="34"/>
  <c r="V18" i="34"/>
  <c r="U18" i="34"/>
  <c r="V17" i="34"/>
  <c r="U17" i="34"/>
  <c r="V16" i="34"/>
  <c r="U16" i="34"/>
  <c r="W13" i="34"/>
  <c r="V13" i="34"/>
  <c r="U13" i="34"/>
  <c r="I13" i="34"/>
  <c r="H13" i="34"/>
  <c r="G13" i="34"/>
  <c r="G22" i="34" s="1"/>
  <c r="F13" i="34"/>
  <c r="F22" i="34" s="1"/>
  <c r="W12" i="34"/>
  <c r="I12" i="34"/>
  <c r="W11" i="34"/>
  <c r="I11" i="34"/>
  <c r="W10" i="34"/>
  <c r="I10" i="34"/>
  <c r="C55" i="33"/>
  <c r="I53" i="33"/>
  <c r="H53" i="33"/>
  <c r="F53" i="33"/>
  <c r="C56" i="33" s="1"/>
  <c r="I52" i="33"/>
  <c r="I51" i="33"/>
  <c r="I50" i="33"/>
  <c r="H34" i="33"/>
  <c r="G34" i="33"/>
  <c r="F34" i="33"/>
  <c r="F35" i="33" s="1"/>
  <c r="H33" i="33"/>
  <c r="G33" i="33"/>
  <c r="I33" i="33" s="1"/>
  <c r="F33" i="33"/>
  <c r="I32" i="33"/>
  <c r="H32" i="33"/>
  <c r="G32" i="33"/>
  <c r="F32" i="33"/>
  <c r="H23" i="33"/>
  <c r="G21" i="33"/>
  <c r="F21" i="33"/>
  <c r="H20" i="33"/>
  <c r="V19" i="33"/>
  <c r="U19" i="33"/>
  <c r="H19" i="33"/>
  <c r="G19" i="33"/>
  <c r="F19" i="33"/>
  <c r="V18" i="33"/>
  <c r="U18" i="33"/>
  <c r="V17" i="33"/>
  <c r="U17" i="33"/>
  <c r="W13" i="33"/>
  <c r="V13" i="33"/>
  <c r="V16" i="33" s="1"/>
  <c r="U13" i="33"/>
  <c r="U16" i="33" s="1"/>
  <c r="I13" i="33"/>
  <c r="H13" i="33"/>
  <c r="G13" i="33"/>
  <c r="F13" i="33"/>
  <c r="F20" i="33" s="1"/>
  <c r="W12" i="33"/>
  <c r="I12" i="33"/>
  <c r="W11" i="33"/>
  <c r="I11" i="33"/>
  <c r="W10" i="33"/>
  <c r="I10" i="33"/>
  <c r="C55" i="32"/>
  <c r="I53" i="32"/>
  <c r="H53" i="32"/>
  <c r="F53" i="32"/>
  <c r="C56" i="32" s="1"/>
  <c r="I52" i="32"/>
  <c r="I51" i="32"/>
  <c r="I50" i="32"/>
  <c r="H34" i="32"/>
  <c r="G34" i="32"/>
  <c r="F34" i="32"/>
  <c r="I34" i="32" s="1"/>
  <c r="H33" i="32"/>
  <c r="I33" i="32" s="1"/>
  <c r="G33" i="32"/>
  <c r="F33" i="32"/>
  <c r="F35" i="32" s="1"/>
  <c r="C38" i="32" s="1"/>
  <c r="H32" i="32"/>
  <c r="H35" i="32" s="1"/>
  <c r="G32" i="32"/>
  <c r="F32" i="32"/>
  <c r="H22" i="32"/>
  <c r="G22" i="32"/>
  <c r="H21" i="32"/>
  <c r="F21" i="32"/>
  <c r="H20" i="32"/>
  <c r="G20" i="32"/>
  <c r="U19" i="32"/>
  <c r="H19" i="32"/>
  <c r="G19" i="32"/>
  <c r="F19" i="32"/>
  <c r="V18" i="32"/>
  <c r="W13" i="32"/>
  <c r="V13" i="32"/>
  <c r="U13" i="32"/>
  <c r="I13" i="32"/>
  <c r="H13" i="32"/>
  <c r="H23" i="32" s="1"/>
  <c r="G13" i="32"/>
  <c r="F13" i="32"/>
  <c r="F23" i="32" s="1"/>
  <c r="W12" i="32"/>
  <c r="I12" i="32"/>
  <c r="W11" i="32"/>
  <c r="I11" i="32"/>
  <c r="W10" i="32"/>
  <c r="I10" i="32"/>
  <c r="C56" i="31"/>
  <c r="C55" i="31"/>
  <c r="I53" i="31"/>
  <c r="H53" i="31"/>
  <c r="F53" i="31"/>
  <c r="I52" i="31"/>
  <c r="I51" i="31"/>
  <c r="I50" i="31"/>
  <c r="H34" i="31"/>
  <c r="G34" i="31"/>
  <c r="F34" i="31"/>
  <c r="I34" i="31" s="1"/>
  <c r="H33" i="31"/>
  <c r="G33" i="31"/>
  <c r="I33" i="31" s="1"/>
  <c r="F33" i="31"/>
  <c r="I32" i="31"/>
  <c r="C37" i="31" s="1"/>
  <c r="H32" i="31"/>
  <c r="G32" i="31"/>
  <c r="F32" i="31"/>
  <c r="G23" i="31"/>
  <c r="F23" i="31"/>
  <c r="H22" i="31"/>
  <c r="H21" i="31"/>
  <c r="F21" i="31"/>
  <c r="H20" i="31"/>
  <c r="G20" i="31"/>
  <c r="F20" i="31"/>
  <c r="V19" i="31"/>
  <c r="U19" i="31"/>
  <c r="H19" i="31"/>
  <c r="G19" i="31"/>
  <c r="F19" i="31"/>
  <c r="V16" i="31"/>
  <c r="W13" i="31"/>
  <c r="V13" i="31"/>
  <c r="V18" i="31" s="1"/>
  <c r="U13" i="31"/>
  <c r="U16" i="31" s="1"/>
  <c r="I13" i="31"/>
  <c r="H13" i="31"/>
  <c r="H23" i="31" s="1"/>
  <c r="G13" i="31"/>
  <c r="G22" i="31" s="1"/>
  <c r="F13" i="31"/>
  <c r="F22" i="31" s="1"/>
  <c r="W12" i="31"/>
  <c r="I12" i="31"/>
  <c r="W11" i="31"/>
  <c r="I11" i="31"/>
  <c r="W10" i="31"/>
  <c r="I10" i="31"/>
  <c r="H6" i="47" l="1"/>
  <c r="I6" i="47"/>
  <c r="C31" i="47"/>
  <c r="D31" i="47" s="1"/>
  <c r="E31" i="47" s="1"/>
  <c r="C30" i="47"/>
  <c r="D30" i="47" s="1"/>
  <c r="E30" i="47"/>
  <c r="C29" i="47"/>
  <c r="R5" i="48"/>
  <c r="I81" i="48"/>
  <c r="F18" i="36"/>
  <c r="L13" i="36" s="1"/>
  <c r="C81" i="47"/>
  <c r="C82" i="47" s="1"/>
  <c r="C83" i="47" s="1"/>
  <c r="C84" i="47" s="1"/>
  <c r="E80" i="47"/>
  <c r="C83" i="48"/>
  <c r="C84" i="48" s="1"/>
  <c r="D82" i="48"/>
  <c r="G10" i="35"/>
  <c r="L15" i="35"/>
  <c r="D13" i="42"/>
  <c r="D11" i="43"/>
  <c r="D41" i="48"/>
  <c r="C42" i="48"/>
  <c r="E41" i="48"/>
  <c r="R9" i="44"/>
  <c r="R10" i="44" s="1"/>
  <c r="R11" i="44" s="1"/>
  <c r="C14" i="48"/>
  <c r="E13" i="48"/>
  <c r="D13" i="48"/>
  <c r="C40" i="33"/>
  <c r="F22" i="32"/>
  <c r="D11" i="48"/>
  <c r="F16" i="35"/>
  <c r="D12" i="41"/>
  <c r="C10" i="43"/>
  <c r="D12" i="48"/>
  <c r="H35" i="31"/>
  <c r="C41" i="31" s="1"/>
  <c r="E17" i="35"/>
  <c r="D11" i="42"/>
  <c r="E12" i="48"/>
  <c r="C12" i="47"/>
  <c r="E11" i="47"/>
  <c r="D11" i="47"/>
  <c r="F35" i="31"/>
  <c r="C38" i="31" s="1"/>
  <c r="G21" i="32"/>
  <c r="G23" i="32"/>
  <c r="G21" i="31"/>
  <c r="I35" i="31"/>
  <c r="I34" i="33"/>
  <c r="S14" i="40"/>
  <c r="C10" i="40"/>
  <c r="C12" i="40"/>
  <c r="C14" i="44"/>
  <c r="D9" i="44"/>
  <c r="D80" i="47"/>
  <c r="E81" i="47"/>
  <c r="D81" i="47"/>
  <c r="D13" i="44"/>
  <c r="E16" i="35"/>
  <c r="E6" i="46"/>
  <c r="G5" i="46"/>
  <c r="G8" i="36"/>
  <c r="D11" i="39"/>
  <c r="C40" i="31"/>
  <c r="U18" i="32"/>
  <c r="U17" i="32"/>
  <c r="U16" i="32"/>
  <c r="I32" i="32"/>
  <c r="C37" i="32" s="1"/>
  <c r="C37" i="34"/>
  <c r="I35" i="34"/>
  <c r="F35" i="34"/>
  <c r="C38" i="34" s="1"/>
  <c r="T7" i="42"/>
  <c r="T8" i="42" s="1"/>
  <c r="T9" i="42" s="1"/>
  <c r="T10" i="42" s="1"/>
  <c r="T11" i="42" s="1"/>
  <c r="H78" i="47"/>
  <c r="D80" i="48"/>
  <c r="C12" i="43"/>
  <c r="C13" i="43"/>
  <c r="E9" i="36"/>
  <c r="D13" i="41"/>
  <c r="S14" i="43"/>
  <c r="I78" i="47"/>
  <c r="C31" i="48"/>
  <c r="D31" i="48" s="1"/>
  <c r="E31" i="48" s="1"/>
  <c r="V17" i="32"/>
  <c r="V16" i="32"/>
  <c r="F9" i="36"/>
  <c r="F17" i="36" s="1"/>
  <c r="R8" i="39"/>
  <c r="R9" i="39" s="1"/>
  <c r="R10" i="39" s="1"/>
  <c r="R11" i="39" s="1"/>
  <c r="D12" i="39"/>
  <c r="D11" i="41"/>
  <c r="D10" i="44"/>
  <c r="D10" i="41"/>
  <c r="D9" i="42"/>
  <c r="D81" i="48"/>
  <c r="D11" i="40"/>
  <c r="D40" i="48"/>
  <c r="E81" i="48"/>
  <c r="F23" i="33"/>
  <c r="F22" i="33"/>
  <c r="G20" i="33"/>
  <c r="G23" i="33"/>
  <c r="G22" i="33"/>
  <c r="C38" i="33"/>
  <c r="C37" i="33"/>
  <c r="I35" i="33"/>
  <c r="C14" i="39"/>
  <c r="D9" i="39"/>
  <c r="C9" i="43"/>
  <c r="I81" i="47"/>
  <c r="H81" i="47"/>
  <c r="E16" i="36"/>
  <c r="T8" i="39"/>
  <c r="T9" i="39" s="1"/>
  <c r="T10" i="39" s="1"/>
  <c r="T11" i="39" s="1"/>
  <c r="V19" i="32"/>
  <c r="H22" i="33"/>
  <c r="H21" i="33"/>
  <c r="I34" i="34"/>
  <c r="D13" i="39"/>
  <c r="D30" i="48"/>
  <c r="C29" i="48"/>
  <c r="C9" i="49"/>
  <c r="M8" i="49"/>
  <c r="U18" i="31"/>
  <c r="U17" i="31"/>
  <c r="F20" i="32"/>
  <c r="H35" i="33"/>
  <c r="C41" i="33" s="1"/>
  <c r="C42" i="47"/>
  <c r="E41" i="47"/>
  <c r="D41" i="47"/>
  <c r="C41" i="32"/>
  <c r="C40" i="32"/>
  <c r="I35" i="32"/>
  <c r="D11" i="44"/>
  <c r="C9" i="40"/>
  <c r="C13" i="40"/>
  <c r="S14" i="42"/>
  <c r="C10" i="42"/>
  <c r="R8" i="42" s="1"/>
  <c r="R9" i="42" s="1"/>
  <c r="R10" i="42" s="1"/>
  <c r="R11" i="42" s="1"/>
  <c r="C12" i="42"/>
  <c r="E40" i="47"/>
  <c r="D83" i="47"/>
  <c r="H6" i="48"/>
  <c r="H8" i="49"/>
  <c r="C14" i="42"/>
  <c r="E83" i="47"/>
  <c r="I6" i="48"/>
  <c r="E82" i="48"/>
  <c r="D116" i="48"/>
  <c r="V17" i="31"/>
  <c r="F21" i="34"/>
  <c r="H82" i="48"/>
  <c r="E116" i="48"/>
  <c r="G21" i="34"/>
  <c r="I82" i="48"/>
  <c r="C9" i="41"/>
  <c r="H78" i="48"/>
  <c r="D83" i="48"/>
  <c r="I78" i="48"/>
  <c r="E83" i="48"/>
  <c r="D9" i="41" l="1"/>
  <c r="D14" i="41" s="1"/>
  <c r="G9" i="41" s="1"/>
  <c r="C14" i="41"/>
  <c r="R7" i="41"/>
  <c r="R8" i="41" s="1"/>
  <c r="R9" i="41" s="1"/>
  <c r="R10" i="41" s="1"/>
  <c r="R11" i="41" s="1"/>
  <c r="D14" i="39"/>
  <c r="R7" i="40"/>
  <c r="R8" i="40" s="1"/>
  <c r="R9" i="40" s="1"/>
  <c r="R10" i="40" s="1"/>
  <c r="R11" i="40" s="1"/>
  <c r="C14" i="40"/>
  <c r="D9" i="40"/>
  <c r="L15" i="36"/>
  <c r="E7" i="46"/>
  <c r="G6" i="46"/>
  <c r="F6" i="46"/>
  <c r="C13" i="47"/>
  <c r="E12" i="47"/>
  <c r="D12" i="47"/>
  <c r="D13" i="40"/>
  <c r="C15" i="48"/>
  <c r="E14" i="48"/>
  <c r="D14" i="48"/>
  <c r="G9" i="36"/>
  <c r="E17" i="36"/>
  <c r="D14" i="44"/>
  <c r="C43" i="48"/>
  <c r="E42" i="48"/>
  <c r="D42" i="48"/>
  <c r="D42" i="47"/>
  <c r="C43" i="47"/>
  <c r="E42" i="47"/>
  <c r="E18" i="36"/>
  <c r="J8" i="36" s="1"/>
  <c r="J14" i="36" s="1"/>
  <c r="G16" i="36"/>
  <c r="D12" i="40"/>
  <c r="D10" i="43"/>
  <c r="C85" i="48"/>
  <c r="E84" i="48"/>
  <c r="D84" i="48"/>
  <c r="E84" i="47"/>
  <c r="C85" i="47"/>
  <c r="D84" i="47"/>
  <c r="D13" i="43"/>
  <c r="D12" i="42"/>
  <c r="R7" i="43"/>
  <c r="R8" i="43" s="1"/>
  <c r="R9" i="43" s="1"/>
  <c r="R10" i="43" s="1"/>
  <c r="R11" i="43" s="1"/>
  <c r="D9" i="43"/>
  <c r="C14" i="43"/>
  <c r="D12" i="43"/>
  <c r="D10" i="42"/>
  <c r="D14" i="42" s="1"/>
  <c r="D82" i="47"/>
  <c r="D10" i="40"/>
  <c r="C116" i="47"/>
  <c r="I82" i="47"/>
  <c r="H82" i="47"/>
  <c r="C10" i="49"/>
  <c r="M9" i="49"/>
  <c r="H9" i="49"/>
  <c r="E82" i="47"/>
  <c r="J13" i="42" l="1"/>
  <c r="K13" i="42" s="1"/>
  <c r="J11" i="42"/>
  <c r="K11" i="42" s="1"/>
  <c r="J9" i="42"/>
  <c r="K9" i="42" s="1"/>
  <c r="J10" i="42"/>
  <c r="K10" i="42" s="1"/>
  <c r="J12" i="42"/>
  <c r="K12" i="42" s="1"/>
  <c r="F11" i="42"/>
  <c r="E11" i="42"/>
  <c r="G13" i="42"/>
  <c r="F13" i="42"/>
  <c r="E13" i="42"/>
  <c r="G9" i="42"/>
  <c r="F9" i="42"/>
  <c r="G11" i="42"/>
  <c r="E9" i="42"/>
  <c r="G10" i="42"/>
  <c r="E12" i="42"/>
  <c r="E10" i="42"/>
  <c r="F10" i="42"/>
  <c r="G12" i="42"/>
  <c r="F12" i="42"/>
  <c r="G21" i="36"/>
  <c r="F21" i="36"/>
  <c r="E85" i="48"/>
  <c r="D85" i="48"/>
  <c r="C86" i="48"/>
  <c r="G7" i="46"/>
  <c r="F7" i="46"/>
  <c r="E9" i="46"/>
  <c r="C44" i="48"/>
  <c r="E43" i="48"/>
  <c r="D43" i="48"/>
  <c r="D14" i="40"/>
  <c r="J11" i="44"/>
  <c r="K11" i="44" s="1"/>
  <c r="J9" i="44"/>
  <c r="K9" i="44" s="1"/>
  <c r="J13" i="44"/>
  <c r="K13" i="44" s="1"/>
  <c r="E10" i="44"/>
  <c r="J10" i="44"/>
  <c r="K10" i="44" s="1"/>
  <c r="F10" i="44"/>
  <c r="F12" i="44"/>
  <c r="J12" i="44"/>
  <c r="K12" i="44" s="1"/>
  <c r="E12" i="44"/>
  <c r="G9" i="44"/>
  <c r="G12" i="44"/>
  <c r="F9" i="44"/>
  <c r="E9" i="44"/>
  <c r="F13" i="44"/>
  <c r="G11" i="44"/>
  <c r="G10" i="44"/>
  <c r="F11" i="44"/>
  <c r="E11" i="44"/>
  <c r="G13" i="44"/>
  <c r="E13" i="44"/>
  <c r="G17" i="36"/>
  <c r="L9" i="36"/>
  <c r="M10" i="49"/>
  <c r="H10" i="49"/>
  <c r="C11" i="49"/>
  <c r="G18" i="36"/>
  <c r="D15" i="48"/>
  <c r="C16" i="48"/>
  <c r="E15" i="48"/>
  <c r="J11" i="39"/>
  <c r="K11" i="39" s="1"/>
  <c r="J9" i="39"/>
  <c r="K9" i="39" s="1"/>
  <c r="J13" i="39"/>
  <c r="K13" i="39" s="1"/>
  <c r="F13" i="39"/>
  <c r="E13" i="39"/>
  <c r="J12" i="39"/>
  <c r="K12" i="39" s="1"/>
  <c r="E12" i="39"/>
  <c r="F12" i="39"/>
  <c r="J10" i="39"/>
  <c r="K10" i="39" s="1"/>
  <c r="E10" i="39"/>
  <c r="E11" i="39"/>
  <c r="G10" i="39"/>
  <c r="G11" i="39"/>
  <c r="F11" i="39"/>
  <c r="F10" i="39"/>
  <c r="F9" i="39"/>
  <c r="G13" i="39"/>
  <c r="G12" i="39"/>
  <c r="G9" i="39"/>
  <c r="E9" i="39"/>
  <c r="L7" i="36"/>
  <c r="J13" i="41"/>
  <c r="K13" i="41" s="1"/>
  <c r="J11" i="41"/>
  <c r="K11" i="41" s="1"/>
  <c r="G11" i="41"/>
  <c r="J10" i="41"/>
  <c r="K10" i="41" s="1"/>
  <c r="J12" i="41"/>
  <c r="K12" i="41" s="1"/>
  <c r="J9" i="41"/>
  <c r="K9" i="41" s="1"/>
  <c r="G10" i="41"/>
  <c r="F11" i="41"/>
  <c r="E11" i="41"/>
  <c r="E10" i="41"/>
  <c r="E13" i="41"/>
  <c r="G13" i="41"/>
  <c r="F10" i="41"/>
  <c r="F13" i="41"/>
  <c r="E12" i="41"/>
  <c r="F12" i="41"/>
  <c r="G12" i="41"/>
  <c r="E116" i="47"/>
  <c r="D116" i="47"/>
  <c r="F20" i="36"/>
  <c r="E9" i="41"/>
  <c r="C86" i="47"/>
  <c r="E85" i="47"/>
  <c r="D85" i="47"/>
  <c r="G20" i="36"/>
  <c r="D14" i="43"/>
  <c r="D13" i="47"/>
  <c r="C14" i="47"/>
  <c r="E13" i="47"/>
  <c r="F9" i="41"/>
  <c r="C44" i="47"/>
  <c r="E43" i="47"/>
  <c r="D43" i="47"/>
  <c r="G14" i="39" l="1"/>
  <c r="K14" i="41"/>
  <c r="K15" i="41" s="1"/>
  <c r="U6" i="41" s="1" a="1"/>
  <c r="U10" i="41" s="1"/>
  <c r="E14" i="44"/>
  <c r="E15" i="44" s="1"/>
  <c r="G14" i="41"/>
  <c r="F14" i="44"/>
  <c r="K14" i="39"/>
  <c r="K15" i="39" s="1"/>
  <c r="U6" i="39" s="1" a="1"/>
  <c r="U10" i="39" s="1"/>
  <c r="E14" i="41"/>
  <c r="E15" i="41" s="1"/>
  <c r="J11" i="40"/>
  <c r="K11" i="40" s="1"/>
  <c r="J9" i="40"/>
  <c r="K9" i="40" s="1"/>
  <c r="J10" i="40"/>
  <c r="K10" i="40" s="1"/>
  <c r="J12" i="40"/>
  <c r="K12" i="40" s="1"/>
  <c r="J13" i="40"/>
  <c r="K13" i="40" s="1"/>
  <c r="G11" i="40"/>
  <c r="F11" i="40"/>
  <c r="E11" i="40"/>
  <c r="E10" i="40"/>
  <c r="G12" i="40"/>
  <c r="F13" i="40"/>
  <c r="E13" i="40"/>
  <c r="F12" i="40"/>
  <c r="G9" i="40"/>
  <c r="E12" i="40"/>
  <c r="F9" i="40"/>
  <c r="E9" i="40"/>
  <c r="G10" i="40"/>
  <c r="F10" i="40"/>
  <c r="G13" i="40"/>
  <c r="J10" i="43"/>
  <c r="K10" i="43" s="1"/>
  <c r="J12" i="43"/>
  <c r="K12" i="43" s="1"/>
  <c r="J9" i="43"/>
  <c r="K9" i="43" s="1"/>
  <c r="J11" i="43"/>
  <c r="K11" i="43" s="1"/>
  <c r="J13" i="43"/>
  <c r="K13" i="43" s="1"/>
  <c r="F11" i="43"/>
  <c r="G11" i="43"/>
  <c r="E11" i="43"/>
  <c r="E9" i="43"/>
  <c r="F12" i="43"/>
  <c r="F13" i="43"/>
  <c r="E12" i="43"/>
  <c r="E13" i="43"/>
  <c r="G13" i="43"/>
  <c r="F10" i="43"/>
  <c r="G10" i="43"/>
  <c r="E10" i="43"/>
  <c r="G12" i="43"/>
  <c r="G9" i="43"/>
  <c r="F9" i="43"/>
  <c r="C87" i="47"/>
  <c r="D86" i="47"/>
  <c r="E86" i="47"/>
  <c r="D44" i="48"/>
  <c r="C45" i="48"/>
  <c r="E44" i="48"/>
  <c r="E14" i="42"/>
  <c r="E15" i="42" s="1"/>
  <c r="K14" i="44"/>
  <c r="K15" i="44" s="1"/>
  <c r="U6" i="44" s="1" a="1"/>
  <c r="E14" i="39"/>
  <c r="E15" i="39" s="1"/>
  <c r="G15" i="39" s="1"/>
  <c r="F14" i="42"/>
  <c r="F14" i="39"/>
  <c r="F15" i="39" s="1"/>
  <c r="E11" i="46"/>
  <c r="G9" i="46"/>
  <c r="F9" i="46"/>
  <c r="C12" i="49"/>
  <c r="M11" i="49"/>
  <c r="H11" i="49"/>
  <c r="G14" i="44"/>
  <c r="G15" i="44" s="1"/>
  <c r="C45" i="47"/>
  <c r="E44" i="47"/>
  <c r="D44" i="47"/>
  <c r="E86" i="48"/>
  <c r="C87" i="48"/>
  <c r="D86" i="48"/>
  <c r="K14" i="42"/>
  <c r="K15" i="42" s="1"/>
  <c r="U6" i="42" s="1" a="1"/>
  <c r="C17" i="48"/>
  <c r="E16" i="48"/>
  <c r="D16" i="48"/>
  <c r="G14" i="42"/>
  <c r="F14" i="41"/>
  <c r="F15" i="41" s="1"/>
  <c r="C15" i="47"/>
  <c r="E14" i="47"/>
  <c r="D14" i="47"/>
  <c r="U6" i="41" l="1"/>
  <c r="U9" i="41"/>
  <c r="U11" i="39"/>
  <c r="U7" i="41"/>
  <c r="U8" i="41"/>
  <c r="U11" i="41"/>
  <c r="E14" i="43"/>
  <c r="E15" i="43" s="1"/>
  <c r="U7" i="39"/>
  <c r="U8" i="39"/>
  <c r="G15" i="41"/>
  <c r="U6" i="39"/>
  <c r="U9" i="39"/>
  <c r="E14" i="40"/>
  <c r="E15" i="40" s="1"/>
  <c r="D45" i="47"/>
  <c r="C46" i="47"/>
  <c r="E45" i="47"/>
  <c r="G14" i="43"/>
  <c r="G15" i="43" s="1"/>
  <c r="F14" i="40"/>
  <c r="U11" i="44"/>
  <c r="U10" i="44"/>
  <c r="U9" i="44"/>
  <c r="U8" i="44"/>
  <c r="U7" i="44"/>
  <c r="U6" i="44"/>
  <c r="G14" i="40"/>
  <c r="C16" i="47"/>
  <c r="E15" i="47"/>
  <c r="D15" i="47"/>
  <c r="D45" i="48"/>
  <c r="C46" i="48"/>
  <c r="E45" i="48"/>
  <c r="H12" i="49"/>
  <c r="M12" i="49"/>
  <c r="C13" i="49"/>
  <c r="G15" i="42"/>
  <c r="F15" i="44"/>
  <c r="U9" i="42"/>
  <c r="U8" i="42"/>
  <c r="U7" i="42"/>
  <c r="U6" i="42"/>
  <c r="U11" i="42"/>
  <c r="U10" i="42"/>
  <c r="F15" i="42"/>
  <c r="K14" i="40"/>
  <c r="K15" i="40" s="1"/>
  <c r="U6" i="40" s="1" a="1"/>
  <c r="C88" i="47"/>
  <c r="D87" i="47"/>
  <c r="E87" i="47"/>
  <c r="G11" i="46"/>
  <c r="E12" i="46"/>
  <c r="F11" i="46"/>
  <c r="C18" i="48"/>
  <c r="E17" i="48"/>
  <c r="D17" i="48"/>
  <c r="K14" i="43"/>
  <c r="K15" i="43" s="1"/>
  <c r="U6" i="43" s="1" a="1"/>
  <c r="C88" i="48"/>
  <c r="E87" i="48"/>
  <c r="D87" i="48"/>
  <c r="F14" i="43"/>
  <c r="G15" i="40" l="1"/>
  <c r="C47" i="48"/>
  <c r="E46" i="48"/>
  <c r="D46" i="48"/>
  <c r="U11" i="40"/>
  <c r="U10" i="40"/>
  <c r="U9" i="40"/>
  <c r="U8" i="40"/>
  <c r="U7" i="40"/>
  <c r="U6" i="40"/>
  <c r="U7" i="43"/>
  <c r="U11" i="43"/>
  <c r="U9" i="43"/>
  <c r="U10" i="43"/>
  <c r="U8" i="43"/>
  <c r="U6" i="43"/>
  <c r="E18" i="48"/>
  <c r="C19" i="48"/>
  <c r="D18" i="48"/>
  <c r="C89" i="47"/>
  <c r="D88" i="47"/>
  <c r="E88" i="47"/>
  <c r="E16" i="47"/>
  <c r="C17" i="47"/>
  <c r="D16" i="47"/>
  <c r="D88" i="48"/>
  <c r="C89" i="48"/>
  <c r="E88" i="48"/>
  <c r="F15" i="43"/>
  <c r="E13" i="46"/>
  <c r="G12" i="46"/>
  <c r="F12" i="46"/>
  <c r="F15" i="40"/>
  <c r="C14" i="49"/>
  <c r="M13" i="49"/>
  <c r="H13" i="49"/>
  <c r="C47" i="47"/>
  <c r="E46" i="47"/>
  <c r="D46" i="47"/>
  <c r="E19" i="48" l="1"/>
  <c r="C20" i="48"/>
  <c r="D19" i="48"/>
  <c r="C48" i="47"/>
  <c r="E47" i="47"/>
  <c r="D47" i="47"/>
  <c r="C15" i="49"/>
  <c r="M14" i="49"/>
  <c r="H14" i="49"/>
  <c r="C90" i="48"/>
  <c r="D89" i="48"/>
  <c r="E89" i="48"/>
  <c r="C18" i="47"/>
  <c r="E17" i="47"/>
  <c r="D17" i="47"/>
  <c r="E14" i="46"/>
  <c r="G13" i="46"/>
  <c r="F13" i="46"/>
  <c r="C90" i="47"/>
  <c r="D89" i="47"/>
  <c r="E89" i="47"/>
  <c r="D47" i="48"/>
  <c r="C48" i="48"/>
  <c r="E47" i="48"/>
  <c r="E90" i="48" l="1"/>
  <c r="C91" i="48"/>
  <c r="D90" i="48"/>
  <c r="M15" i="49"/>
  <c r="H15" i="49"/>
  <c r="C16" i="49"/>
  <c r="E48" i="47"/>
  <c r="D48" i="47"/>
  <c r="C49" i="47"/>
  <c r="C91" i="47"/>
  <c r="E90" i="47"/>
  <c r="D90" i="47"/>
  <c r="D48" i="48"/>
  <c r="C49" i="48"/>
  <c r="E48" i="48"/>
  <c r="C21" i="48"/>
  <c r="E20" i="48"/>
  <c r="D20" i="48"/>
  <c r="E15" i="46"/>
  <c r="G14" i="46"/>
  <c r="F14" i="46"/>
  <c r="C19" i="47"/>
  <c r="E18" i="47"/>
  <c r="D18" i="47"/>
  <c r="C20" i="47" l="1"/>
  <c r="E19" i="47"/>
  <c r="D19" i="47"/>
  <c r="C50" i="48"/>
  <c r="E49" i="48"/>
  <c r="D49" i="48"/>
  <c r="C92" i="47"/>
  <c r="E91" i="47"/>
  <c r="D91" i="47"/>
  <c r="C50" i="47"/>
  <c r="E49" i="47"/>
  <c r="D49" i="47"/>
  <c r="C17" i="49"/>
  <c r="M16" i="49"/>
  <c r="H16" i="49"/>
  <c r="C92" i="48"/>
  <c r="E91" i="48"/>
  <c r="D91" i="48"/>
  <c r="E16" i="46"/>
  <c r="G15" i="46"/>
  <c r="F15" i="46"/>
  <c r="C22" i="48"/>
  <c r="E21" i="48"/>
  <c r="D21" i="48"/>
  <c r="H17" i="49" l="1"/>
  <c r="C18" i="49"/>
  <c r="M17" i="49"/>
  <c r="C93" i="48"/>
  <c r="E92" i="48"/>
  <c r="D92" i="48"/>
  <c r="C51" i="47"/>
  <c r="E50" i="47"/>
  <c r="D50" i="47"/>
  <c r="F16" i="46"/>
  <c r="E17" i="46"/>
  <c r="G16" i="46"/>
  <c r="C93" i="47"/>
  <c r="E92" i="47"/>
  <c r="D92" i="47"/>
  <c r="C23" i="48"/>
  <c r="E22" i="48"/>
  <c r="D22" i="48"/>
  <c r="E50" i="48"/>
  <c r="D50" i="48"/>
  <c r="C51" i="48"/>
  <c r="C21" i="47"/>
  <c r="E20" i="47"/>
  <c r="D20" i="47"/>
  <c r="E19" i="46" l="1"/>
  <c r="F17" i="46"/>
  <c r="G17" i="46"/>
  <c r="C19" i="49"/>
  <c r="M18" i="49"/>
  <c r="H18" i="49"/>
  <c r="C94" i="47"/>
  <c r="E93" i="47"/>
  <c r="D93" i="47"/>
  <c r="C52" i="47"/>
  <c r="D51" i="47"/>
  <c r="E51" i="47"/>
  <c r="E21" i="47"/>
  <c r="D21" i="47"/>
  <c r="C22" i="47"/>
  <c r="C52" i="48"/>
  <c r="E51" i="48"/>
  <c r="D51" i="48"/>
  <c r="C94" i="48"/>
  <c r="E93" i="48"/>
  <c r="D93" i="48"/>
  <c r="D23" i="48"/>
  <c r="C24" i="48"/>
  <c r="E23" i="48"/>
  <c r="M19" i="49" l="1"/>
  <c r="H19" i="49"/>
  <c r="C20" i="49"/>
  <c r="E52" i="47"/>
  <c r="C53" i="47"/>
  <c r="D52" i="47"/>
  <c r="C53" i="48"/>
  <c r="E52" i="48"/>
  <c r="D52" i="48"/>
  <c r="C95" i="47"/>
  <c r="E94" i="47"/>
  <c r="D94" i="47"/>
  <c r="D24" i="48"/>
  <c r="C25" i="48"/>
  <c r="E24" i="48"/>
  <c r="C95" i="48"/>
  <c r="E94" i="48"/>
  <c r="D94" i="48"/>
  <c r="E22" i="47"/>
  <c r="C23" i="47"/>
  <c r="D22" i="47"/>
  <c r="E21" i="46"/>
  <c r="G19" i="46"/>
  <c r="F19" i="46"/>
  <c r="D25" i="48" l="1"/>
  <c r="C26" i="48"/>
  <c r="E25" i="48"/>
  <c r="C96" i="47"/>
  <c r="E95" i="47"/>
  <c r="D95" i="47"/>
  <c r="E22" i="46"/>
  <c r="G21" i="46"/>
  <c r="F21" i="46"/>
  <c r="C54" i="48"/>
  <c r="E53" i="48"/>
  <c r="D53" i="48"/>
  <c r="C54" i="47"/>
  <c r="E53" i="47"/>
  <c r="D53" i="47"/>
  <c r="M20" i="49"/>
  <c r="H20" i="49"/>
  <c r="C21" i="49"/>
  <c r="D23" i="47"/>
  <c r="C24" i="47"/>
  <c r="E23" i="47"/>
  <c r="C96" i="48"/>
  <c r="D95" i="48"/>
  <c r="E95" i="48"/>
  <c r="C22" i="49" l="1"/>
  <c r="M21" i="49"/>
  <c r="H21" i="49"/>
  <c r="C97" i="48"/>
  <c r="D96" i="48"/>
  <c r="E96" i="48"/>
  <c r="C25" i="47"/>
  <c r="E24" i="47"/>
  <c r="D24" i="47"/>
  <c r="C55" i="47"/>
  <c r="E54" i="47"/>
  <c r="D54" i="47"/>
  <c r="C55" i="48"/>
  <c r="D54" i="48"/>
  <c r="E54" i="48"/>
  <c r="F22" i="46"/>
  <c r="E23" i="46"/>
  <c r="G22" i="46"/>
  <c r="C97" i="47"/>
  <c r="E96" i="47"/>
  <c r="D96" i="47"/>
  <c r="D26" i="48"/>
  <c r="C27" i="48"/>
  <c r="E26" i="48"/>
  <c r="D55" i="47" l="1"/>
  <c r="E55" i="47"/>
  <c r="E27" i="48"/>
  <c r="D27" i="48"/>
  <c r="E97" i="48"/>
  <c r="D97" i="48"/>
  <c r="C98" i="48"/>
  <c r="E24" i="46"/>
  <c r="G23" i="46"/>
  <c r="F23" i="46"/>
  <c r="C26" i="47"/>
  <c r="E25" i="47"/>
  <c r="D25" i="47"/>
  <c r="C98" i="47"/>
  <c r="E97" i="47"/>
  <c r="D97" i="47"/>
  <c r="E55" i="48"/>
  <c r="D55" i="48"/>
  <c r="H22" i="49"/>
  <c r="C23" i="49"/>
  <c r="M22" i="49"/>
  <c r="C99" i="47" l="1"/>
  <c r="D98" i="47"/>
  <c r="E98" i="47"/>
  <c r="E26" i="47"/>
  <c r="D26" i="47"/>
  <c r="C27" i="47"/>
  <c r="C24" i="49"/>
  <c r="M23" i="49"/>
  <c r="H23" i="49"/>
  <c r="E98" i="48"/>
  <c r="D98" i="48"/>
  <c r="C99" i="48"/>
  <c r="G24" i="46"/>
  <c r="F24" i="46"/>
  <c r="E99" i="48" l="1"/>
  <c r="D99" i="48"/>
  <c r="C25" i="49"/>
  <c r="M24" i="49"/>
  <c r="H24" i="49"/>
  <c r="E27" i="47"/>
  <c r="D27" i="47"/>
  <c r="E99" i="47"/>
  <c r="D99" i="47"/>
  <c r="M25" i="49" l="1"/>
  <c r="H25" i="49"/>
  <c r="C26" i="49"/>
  <c r="C27" i="49" l="1"/>
  <c r="M26" i="49"/>
  <c r="H26" i="49"/>
  <c r="H27" i="49" l="1"/>
  <c r="C28" i="49"/>
  <c r="M27" i="49"/>
  <c r="C29" i="49" l="1"/>
  <c r="M28" i="49"/>
  <c r="H28" i="49"/>
  <c r="C30" i="49" l="1"/>
  <c r="M29" i="49"/>
  <c r="H29" i="49"/>
  <c r="M30" i="49" l="1"/>
  <c r="H30" i="49"/>
  <c r="C31" i="49"/>
  <c r="C32" i="49" l="1"/>
  <c r="M31" i="49"/>
  <c r="H31" i="49"/>
  <c r="H32" i="49" l="1"/>
  <c r="C33" i="49"/>
  <c r="M32" i="49"/>
  <c r="C34" i="49" l="1"/>
  <c r="M33" i="49"/>
  <c r="H33" i="49"/>
  <c r="H34" i="49" l="1"/>
  <c r="C35" i="49"/>
  <c r="M34" i="49"/>
  <c r="M35" i="49" l="1"/>
  <c r="H35" i="49"/>
  <c r="C36" i="49"/>
  <c r="M36" i="49" l="1"/>
  <c r="H36" i="49"/>
  <c r="C39" i="49"/>
  <c r="F7" i="49" l="1"/>
  <c r="E7" i="49"/>
  <c r="D7" i="49"/>
  <c r="E8" i="49"/>
  <c r="D8" i="49"/>
  <c r="F8" i="49"/>
  <c r="E9" i="49"/>
  <c r="F9" i="49"/>
  <c r="D9" i="49"/>
  <c r="E10" i="49"/>
  <c r="F10" i="49"/>
  <c r="D10" i="49"/>
  <c r="F11" i="49"/>
  <c r="D11" i="49"/>
  <c r="E11" i="49"/>
  <c r="F12" i="49"/>
  <c r="E12" i="49"/>
  <c r="D12" i="49"/>
  <c r="D13" i="49"/>
  <c r="F13" i="49"/>
  <c r="E13" i="49"/>
  <c r="E14" i="49"/>
  <c r="D14" i="49"/>
  <c r="F14" i="49"/>
  <c r="E15" i="49"/>
  <c r="D15" i="49"/>
  <c r="F15" i="49"/>
  <c r="D16" i="49"/>
  <c r="F16" i="49"/>
  <c r="E16" i="49"/>
  <c r="E17" i="49"/>
  <c r="F17" i="49"/>
  <c r="D17" i="49"/>
  <c r="F18" i="49"/>
  <c r="E18" i="49"/>
  <c r="D18" i="49"/>
  <c r="E19" i="49"/>
  <c r="F19" i="49"/>
  <c r="D19" i="49"/>
  <c r="D20" i="49"/>
  <c r="F20" i="49"/>
  <c r="E20" i="49"/>
  <c r="E21" i="49"/>
  <c r="F21" i="49"/>
  <c r="D21" i="49"/>
  <c r="F22" i="49"/>
  <c r="D22" i="49"/>
  <c r="E22" i="49"/>
  <c r="F23" i="49"/>
  <c r="E23" i="49"/>
  <c r="D23" i="49"/>
  <c r="E24" i="49"/>
  <c r="D24" i="49"/>
  <c r="F24" i="49"/>
  <c r="E25" i="49"/>
  <c r="F25" i="49"/>
  <c r="D25" i="49"/>
  <c r="E26" i="49"/>
  <c r="F26" i="49"/>
  <c r="D26" i="49"/>
  <c r="E27" i="49"/>
  <c r="F27" i="49"/>
  <c r="D27" i="49"/>
  <c r="F28" i="49"/>
  <c r="E28" i="49"/>
  <c r="D28" i="49"/>
  <c r="D29" i="49"/>
  <c r="E29" i="49"/>
  <c r="F29" i="49"/>
  <c r="F30" i="49"/>
  <c r="E30" i="49"/>
  <c r="D30" i="49"/>
  <c r="D31" i="49"/>
  <c r="F31" i="49"/>
  <c r="E31" i="49"/>
  <c r="D32" i="49"/>
  <c r="F32" i="49"/>
  <c r="E32" i="49"/>
  <c r="F33" i="49"/>
  <c r="E33" i="49"/>
  <c r="D33" i="49"/>
  <c r="E34" i="49"/>
  <c r="D34" i="49"/>
  <c r="F34" i="49"/>
  <c r="E35" i="49"/>
  <c r="D35" i="49"/>
  <c r="F35" i="49"/>
  <c r="D36" i="49"/>
  <c r="E36" i="49"/>
  <c r="F36" i="49"/>
  <c r="H39" i="49"/>
  <c r="M39" i="49"/>
  <c r="P36" i="49" s="1"/>
  <c r="J7" i="49" l="1"/>
  <c r="I7" i="49"/>
  <c r="K7" i="49"/>
  <c r="J8" i="49"/>
  <c r="I8" i="49"/>
  <c r="K8" i="49"/>
  <c r="J9" i="49"/>
  <c r="I9" i="49"/>
  <c r="K9" i="49"/>
  <c r="J10" i="49"/>
  <c r="K10" i="49"/>
  <c r="I10" i="49"/>
  <c r="K11" i="49"/>
  <c r="J11" i="49"/>
  <c r="I11" i="49"/>
  <c r="K12" i="49"/>
  <c r="J12" i="49"/>
  <c r="I12" i="49"/>
  <c r="K13" i="49"/>
  <c r="J13" i="49"/>
  <c r="I13" i="49"/>
  <c r="K14" i="49"/>
  <c r="J14" i="49"/>
  <c r="I14" i="49"/>
  <c r="I15" i="49"/>
  <c r="K15" i="49"/>
  <c r="J15" i="49"/>
  <c r="K16" i="49"/>
  <c r="J16" i="49"/>
  <c r="I16" i="49"/>
  <c r="J17" i="49"/>
  <c r="I17" i="49"/>
  <c r="K17" i="49"/>
  <c r="J18" i="49"/>
  <c r="I18" i="49"/>
  <c r="K18" i="49"/>
  <c r="K19" i="49"/>
  <c r="J19" i="49"/>
  <c r="I19" i="49"/>
  <c r="K20" i="49"/>
  <c r="I20" i="49"/>
  <c r="J20" i="49"/>
  <c r="I21" i="49"/>
  <c r="J21" i="49"/>
  <c r="K21" i="49"/>
  <c r="K22" i="49"/>
  <c r="I22" i="49"/>
  <c r="J22" i="49"/>
  <c r="K23" i="49"/>
  <c r="I23" i="49"/>
  <c r="J23" i="49"/>
  <c r="K24" i="49"/>
  <c r="J24" i="49"/>
  <c r="I24" i="49"/>
  <c r="K25" i="49"/>
  <c r="I25" i="49"/>
  <c r="J25" i="49"/>
  <c r="K26" i="49"/>
  <c r="I26" i="49"/>
  <c r="J26" i="49"/>
  <c r="J27" i="49"/>
  <c r="I27" i="49"/>
  <c r="K27" i="49"/>
  <c r="K28" i="49"/>
  <c r="J28" i="49"/>
  <c r="I28" i="49"/>
  <c r="K29" i="49"/>
  <c r="J29" i="49"/>
  <c r="I29" i="49"/>
  <c r="K30" i="49"/>
  <c r="J30" i="49"/>
  <c r="I30" i="49"/>
  <c r="K31" i="49"/>
  <c r="J31" i="49"/>
  <c r="I31" i="49"/>
  <c r="I32" i="49"/>
  <c r="K32" i="49"/>
  <c r="J32" i="49"/>
  <c r="J33" i="49"/>
  <c r="K33" i="49"/>
  <c r="I33" i="49"/>
  <c r="J34" i="49"/>
  <c r="I34" i="49"/>
  <c r="K34" i="49"/>
  <c r="K35" i="49"/>
  <c r="J35" i="49"/>
  <c r="I35" i="49"/>
  <c r="J36" i="49"/>
  <c r="N36" i="49"/>
  <c r="I36" i="49"/>
  <c r="O36" i="49"/>
  <c r="D39" i="49"/>
  <c r="N7" i="49"/>
  <c r="P7" i="49"/>
  <c r="O7" i="49"/>
  <c r="P8" i="49"/>
  <c r="O8" i="49"/>
  <c r="N8" i="49"/>
  <c r="P9" i="49"/>
  <c r="O9" i="49"/>
  <c r="N9" i="49"/>
  <c r="O10" i="49"/>
  <c r="N10" i="49"/>
  <c r="P10" i="49"/>
  <c r="P11" i="49"/>
  <c r="N11" i="49"/>
  <c r="O11" i="49"/>
  <c r="O12" i="49"/>
  <c r="P12" i="49"/>
  <c r="N12" i="49"/>
  <c r="P13" i="49"/>
  <c r="O13" i="49"/>
  <c r="N13" i="49"/>
  <c r="P14" i="49"/>
  <c r="O14" i="49"/>
  <c r="N14" i="49"/>
  <c r="O15" i="49"/>
  <c r="N15" i="49"/>
  <c r="P15" i="49"/>
  <c r="O16" i="49"/>
  <c r="N16" i="49"/>
  <c r="P16" i="49"/>
  <c r="P17" i="49"/>
  <c r="O17" i="49"/>
  <c r="N17" i="49"/>
  <c r="N18" i="49"/>
  <c r="P18" i="49"/>
  <c r="O18" i="49"/>
  <c r="O19" i="49"/>
  <c r="N19" i="49"/>
  <c r="P19" i="49"/>
  <c r="O20" i="49"/>
  <c r="N20" i="49"/>
  <c r="P20" i="49"/>
  <c r="O21" i="49"/>
  <c r="P21" i="49"/>
  <c r="N21" i="49"/>
  <c r="P22" i="49"/>
  <c r="N22" i="49"/>
  <c r="O22" i="49"/>
  <c r="P23" i="49"/>
  <c r="O23" i="49"/>
  <c r="N23" i="49"/>
  <c r="O24" i="49"/>
  <c r="N24" i="49"/>
  <c r="P24" i="49"/>
  <c r="O25" i="49"/>
  <c r="P25" i="49"/>
  <c r="N25" i="49"/>
  <c r="O26" i="49"/>
  <c r="P26" i="49"/>
  <c r="N26" i="49"/>
  <c r="P27" i="49"/>
  <c r="O27" i="49"/>
  <c r="N27" i="49"/>
  <c r="P28" i="49"/>
  <c r="N28" i="49"/>
  <c r="O28" i="49"/>
  <c r="P29" i="49"/>
  <c r="O29" i="49"/>
  <c r="N29" i="49"/>
  <c r="O30" i="49"/>
  <c r="N30" i="49"/>
  <c r="P30" i="49"/>
  <c r="O31" i="49"/>
  <c r="P31" i="49"/>
  <c r="N31" i="49"/>
  <c r="P32" i="49"/>
  <c r="O32" i="49"/>
  <c r="N32" i="49"/>
  <c r="P33" i="49"/>
  <c r="O33" i="49"/>
  <c r="N33" i="49"/>
  <c r="P34" i="49"/>
  <c r="O34" i="49"/>
  <c r="N34" i="49"/>
  <c r="O35" i="49"/>
  <c r="P35" i="49"/>
  <c r="N35" i="49"/>
  <c r="K36" i="49"/>
  <c r="D41" i="49" l="1"/>
  <c r="N39" i="49"/>
  <c r="N41" i="49" s="1"/>
  <c r="I39" i="49"/>
  <c r="I41" i="49" s="1"/>
  <c r="J39" i="49" l="1"/>
  <c r="K39" i="49"/>
  <c r="P39" i="49"/>
  <c r="O39" i="49"/>
  <c r="F39" i="49"/>
  <c r="E39" i="49"/>
  <c r="D47" i="49"/>
  <c r="C6" i="29" l="1"/>
  <c r="B8" i="29" s="1"/>
  <c r="B12" i="29" s="1"/>
  <c r="B10" i="29"/>
  <c r="H10" i="28"/>
  <c r="F10" i="28"/>
  <c r="F13" i="28" s="1"/>
  <c r="E10" i="28"/>
  <c r="E13" i="28" s="1"/>
  <c r="H8" i="28"/>
  <c r="H7" i="28"/>
  <c r="H6" i="28"/>
  <c r="E14" i="28" l="1"/>
  <c r="F14" i="28"/>
  <c r="E12" i="28"/>
  <c r="F12" i="28"/>
  <c r="G50" i="23" l="1"/>
  <c r="F50" i="23"/>
  <c r="E50" i="23"/>
  <c r="C53" i="23" s="1"/>
  <c r="G49" i="23"/>
  <c r="C52" i="23" s="1"/>
  <c r="G48" i="23"/>
  <c r="G47" i="23"/>
  <c r="C37" i="23"/>
  <c r="G33" i="23"/>
  <c r="F33" i="23"/>
  <c r="C38" i="23" s="1"/>
  <c r="E33" i="23"/>
  <c r="C36" i="23" s="1"/>
  <c r="G32" i="23"/>
  <c r="G31" i="23"/>
  <c r="G30" i="23"/>
  <c r="C35" i="23" s="1"/>
  <c r="C32" i="26" l="1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Q23" i="26"/>
  <c r="C23" i="26"/>
  <c r="B23" i="26"/>
  <c r="Q22" i="26"/>
  <c r="C22" i="26"/>
  <c r="B22" i="26"/>
  <c r="Q21" i="26"/>
  <c r="C21" i="26"/>
  <c r="B21" i="26"/>
  <c r="Q20" i="26"/>
  <c r="C20" i="26"/>
  <c r="B20" i="26"/>
  <c r="Q19" i="26"/>
  <c r="C19" i="26"/>
  <c r="B19" i="26"/>
  <c r="Q18" i="26"/>
  <c r="C18" i="26"/>
  <c r="B18" i="26"/>
  <c r="Q17" i="26"/>
  <c r="C17" i="26"/>
  <c r="B17" i="26"/>
  <c r="Q16" i="26"/>
  <c r="C16" i="26"/>
  <c r="B16" i="26"/>
  <c r="Q15" i="26"/>
  <c r="C15" i="26"/>
  <c r="B15" i="26"/>
  <c r="Q14" i="26"/>
  <c r="C14" i="26"/>
  <c r="B14" i="26"/>
  <c r="Q13" i="26"/>
  <c r="C13" i="26"/>
  <c r="B13" i="26"/>
  <c r="Q12" i="26"/>
  <c r="C12" i="26"/>
  <c r="B12" i="26"/>
  <c r="Q11" i="26"/>
  <c r="C11" i="26"/>
  <c r="B11" i="26"/>
  <c r="Q10" i="26"/>
  <c r="C10" i="26"/>
  <c r="B10" i="26"/>
  <c r="Q9" i="26"/>
  <c r="C9" i="26"/>
  <c r="B9" i="26"/>
  <c r="Q8" i="26"/>
  <c r="C8" i="26"/>
  <c r="B8" i="26"/>
  <c r="Q7" i="26"/>
  <c r="C7" i="26"/>
  <c r="B7" i="26"/>
  <c r="Q6" i="26"/>
  <c r="C6" i="26"/>
  <c r="B6" i="26"/>
  <c r="Q5" i="26"/>
  <c r="C5" i="26"/>
  <c r="B5" i="26"/>
  <c r="Q4" i="26"/>
  <c r="C4" i="26"/>
  <c r="B4" i="26"/>
  <c r="Q3" i="26"/>
  <c r="C3" i="26"/>
  <c r="B3" i="26"/>
  <c r="Q2" i="26"/>
  <c r="R2" i="26" s="1"/>
  <c r="R3" i="26" s="1"/>
  <c r="R4" i="26" s="1"/>
  <c r="R5" i="26" s="1"/>
  <c r="R6" i="26" s="1"/>
  <c r="R7" i="26" s="1"/>
  <c r="R8" i="26" s="1"/>
  <c r="R9" i="26" s="1"/>
  <c r="R10" i="26" s="1"/>
  <c r="R11" i="26" s="1"/>
  <c r="R12" i="26" s="1"/>
  <c r="R13" i="26" s="1"/>
  <c r="R14" i="26" s="1"/>
  <c r="R15" i="26" s="1"/>
  <c r="R16" i="26" s="1"/>
  <c r="R17" i="26" s="1"/>
  <c r="R18" i="26" s="1"/>
  <c r="R19" i="26" s="1"/>
  <c r="R20" i="26" s="1"/>
  <c r="R21" i="26" s="1"/>
  <c r="R22" i="26" s="1"/>
  <c r="R23" i="26" s="1"/>
  <c r="C2" i="26"/>
  <c r="B2" i="26"/>
  <c r="G13" i="23" l="1"/>
  <c r="F13" i="23"/>
  <c r="E13" i="23"/>
  <c r="G12" i="23"/>
  <c r="G11" i="23"/>
  <c r="G10" i="23"/>
  <c r="H10" i="22"/>
  <c r="F10" i="22"/>
  <c r="F12" i="22" s="1"/>
  <c r="E10" i="22"/>
  <c r="E14" i="22" s="1"/>
  <c r="H8" i="22"/>
  <c r="H7" i="22"/>
  <c r="H6" i="22"/>
  <c r="E19" i="23" l="1"/>
  <c r="E18" i="23"/>
  <c r="F21" i="23"/>
  <c r="F18" i="23"/>
  <c r="E20" i="23"/>
  <c r="E21" i="23"/>
  <c r="F19" i="23"/>
  <c r="F20" i="23"/>
  <c r="F13" i="22"/>
  <c r="F14" i="22"/>
  <c r="E12" i="22"/>
  <c r="E13" i="22"/>
  <c r="D13" i="21"/>
  <c r="C14" i="21"/>
  <c r="D14" i="21"/>
  <c r="C17" i="21"/>
  <c r="D17" i="21"/>
  <c r="D18" i="21" s="1"/>
  <c r="D19" i="21" s="1"/>
  <c r="C18" i="21"/>
  <c r="C19" i="21"/>
  <c r="D21" i="21"/>
  <c r="D23" i="21"/>
  <c r="H30" i="21"/>
  <c r="I30" i="21"/>
  <c r="J30" i="21"/>
  <c r="K30" i="21"/>
  <c r="L30" i="21"/>
  <c r="M30" i="21"/>
  <c r="N30" i="21"/>
  <c r="O30" i="21"/>
  <c r="P30" i="21"/>
  <c r="Q30" i="21"/>
  <c r="H31" i="21"/>
  <c r="I31" i="21"/>
  <c r="J31" i="21"/>
  <c r="K31" i="21"/>
  <c r="L31" i="21"/>
  <c r="M31" i="21"/>
  <c r="N31" i="21"/>
  <c r="O31" i="21"/>
  <c r="P31" i="21"/>
  <c r="Q31" i="21"/>
  <c r="H32" i="21"/>
  <c r="I32" i="21"/>
  <c r="J32" i="21"/>
  <c r="K32" i="21"/>
  <c r="L32" i="21"/>
  <c r="M32" i="21"/>
  <c r="N32" i="21"/>
  <c r="O32" i="21"/>
  <c r="P32" i="21"/>
  <c r="Q32" i="21"/>
  <c r="H33" i="21"/>
  <c r="I33" i="21"/>
  <c r="J33" i="21"/>
  <c r="K33" i="21"/>
  <c r="L33" i="21"/>
  <c r="M33" i="21"/>
  <c r="N33" i="21"/>
  <c r="O33" i="21"/>
  <c r="P33" i="21"/>
  <c r="Q33" i="21"/>
  <c r="H34" i="21"/>
  <c r="I34" i="21"/>
  <c r="J34" i="21"/>
  <c r="K34" i="21"/>
  <c r="L34" i="21"/>
  <c r="M34" i="21"/>
  <c r="N34" i="21"/>
  <c r="O34" i="21"/>
  <c r="P34" i="21"/>
  <c r="Q34" i="21"/>
  <c r="H35" i="21"/>
  <c r="I35" i="21"/>
  <c r="J35" i="21"/>
  <c r="K35" i="21"/>
  <c r="L35" i="21"/>
  <c r="M35" i="21"/>
  <c r="N35" i="21"/>
  <c r="O35" i="21"/>
  <c r="P35" i="21"/>
  <c r="Q35" i="21"/>
  <c r="H36" i="21"/>
  <c r="I36" i="21"/>
  <c r="J36" i="21"/>
  <c r="K36" i="21"/>
  <c r="L36" i="21"/>
  <c r="M36" i="21"/>
  <c r="N36" i="21"/>
  <c r="O36" i="21"/>
  <c r="P36" i="21"/>
  <c r="Q36" i="21"/>
  <c r="H37" i="21"/>
  <c r="I37" i="21"/>
  <c r="J37" i="21"/>
  <c r="K37" i="21"/>
  <c r="L37" i="21"/>
  <c r="M37" i="21"/>
  <c r="N37" i="21"/>
  <c r="O37" i="21"/>
  <c r="P37" i="21"/>
  <c r="Q37" i="21"/>
  <c r="H38" i="21"/>
  <c r="I38" i="21"/>
  <c r="J38" i="21"/>
  <c r="K38" i="21"/>
  <c r="L38" i="21"/>
  <c r="M38" i="21"/>
  <c r="N38" i="21"/>
  <c r="O38" i="21"/>
  <c r="P38" i="21"/>
  <c r="Q38" i="21"/>
  <c r="H39" i="21"/>
  <c r="I39" i="21"/>
  <c r="J39" i="21"/>
  <c r="K39" i="21"/>
  <c r="L39" i="21"/>
  <c r="M39" i="21"/>
  <c r="N39" i="21"/>
  <c r="O39" i="21"/>
  <c r="P39" i="21"/>
  <c r="Q39" i="21"/>
  <c r="H40" i="21"/>
  <c r="I40" i="21"/>
  <c r="J40" i="21"/>
  <c r="K40" i="21"/>
  <c r="L40" i="21"/>
  <c r="M40" i="21"/>
  <c r="N40" i="21"/>
  <c r="O40" i="21"/>
  <c r="P40" i="21"/>
  <c r="Q40" i="21"/>
  <c r="I6" i="20"/>
  <c r="I7" i="20"/>
  <c r="I8" i="20"/>
  <c r="E10" i="20"/>
  <c r="E13" i="20" s="1"/>
  <c r="F10" i="20"/>
  <c r="F13" i="20" s="1"/>
  <c r="G10" i="20"/>
  <c r="G12" i="20" s="1"/>
  <c r="E12" i="20"/>
  <c r="F12" i="20"/>
  <c r="F14" i="20" l="1"/>
  <c r="D24" i="21"/>
  <c r="G14" i="20"/>
  <c r="E14" i="20"/>
  <c r="G13" i="20"/>
  <c r="P10" i="19" l="1"/>
  <c r="P11" i="19"/>
  <c r="P12" i="19" s="1"/>
  <c r="C20" i="18" l="1"/>
  <c r="C19" i="18"/>
  <c r="C18" i="18"/>
  <c r="C9" i="18"/>
  <c r="C8" i="18"/>
  <c r="C7" i="18"/>
  <c r="C6" i="18"/>
  <c r="C5" i="18"/>
  <c r="E26" i="13"/>
  <c r="D26" i="13"/>
  <c r="F20" i="13"/>
  <c r="E20" i="13"/>
  <c r="E25" i="13" s="1"/>
  <c r="D20" i="13"/>
  <c r="D25" i="13" s="1"/>
  <c r="F17" i="13"/>
  <c r="F26" i="13" s="1"/>
  <c r="F14" i="13"/>
  <c r="F13" i="13"/>
  <c r="H7" i="13"/>
  <c r="G7" i="13"/>
  <c r="E14" i="13" s="1"/>
  <c r="H6" i="13"/>
  <c r="G6" i="13"/>
  <c r="E13" i="13" s="1"/>
  <c r="E26" i="12"/>
  <c r="D26" i="12"/>
  <c r="E25" i="12"/>
  <c r="D25" i="12"/>
  <c r="E14" i="12"/>
  <c r="D14" i="12"/>
  <c r="E13" i="12"/>
  <c r="D13" i="12"/>
  <c r="D17" i="12" s="1"/>
  <c r="F7" i="12"/>
  <c r="F6" i="12"/>
  <c r="D6" i="12"/>
  <c r="G6" i="12" s="1"/>
  <c r="F22" i="11"/>
  <c r="D22" i="11"/>
  <c r="I22" i="11" s="1"/>
  <c r="I21" i="11"/>
  <c r="F21" i="11"/>
  <c r="J21" i="11" s="1"/>
  <c r="J13" i="11"/>
  <c r="E13" i="11"/>
  <c r="F7" i="11"/>
  <c r="D7" i="11"/>
  <c r="G6" i="11"/>
  <c r="F6" i="11"/>
  <c r="D13" i="11" s="1"/>
  <c r="D15" i="9"/>
  <c r="C15" i="9"/>
  <c r="D13" i="9"/>
  <c r="C13" i="9"/>
  <c r="E8" i="9"/>
  <c r="D8" i="9"/>
  <c r="D14" i="9" s="1"/>
  <c r="C8" i="9"/>
  <c r="C14" i="9" s="1"/>
  <c r="E6" i="9"/>
  <c r="E15" i="9" s="1"/>
  <c r="D15" i="8"/>
  <c r="C15" i="8"/>
  <c r="D13" i="8"/>
  <c r="C13" i="8"/>
  <c r="E8" i="8"/>
  <c r="D8" i="8"/>
  <c r="D14" i="8" s="1"/>
  <c r="C8" i="8"/>
  <c r="C14" i="8" s="1"/>
  <c r="E6" i="8"/>
  <c r="E15" i="8" s="1"/>
  <c r="E17" i="12" l="1"/>
  <c r="G13" i="11"/>
  <c r="E29" i="13"/>
  <c r="E14" i="8"/>
  <c r="F14" i="8" s="1"/>
  <c r="F19" i="8" s="1"/>
  <c r="C16" i="8"/>
  <c r="F15" i="8"/>
  <c r="D16" i="9"/>
  <c r="J22" i="11"/>
  <c r="J23" i="11" s="1"/>
  <c r="D29" i="11" s="1"/>
  <c r="D16" i="8"/>
  <c r="H8" i="13"/>
  <c r="I7" i="13" s="1"/>
  <c r="E13" i="8"/>
  <c r="D14" i="11"/>
  <c r="E14" i="11"/>
  <c r="E16" i="11" s="1"/>
  <c r="G14" i="12"/>
  <c r="E19" i="12" s="1"/>
  <c r="C10" i="18"/>
  <c r="C11" i="18" s="1"/>
  <c r="D8" i="18" s="1"/>
  <c r="E8" i="18" s="1"/>
  <c r="C21" i="18"/>
  <c r="C22" i="18" s="1"/>
  <c r="D18" i="18" s="1"/>
  <c r="E18" i="18" s="1"/>
  <c r="D29" i="13"/>
  <c r="E33" i="13"/>
  <c r="I23" i="11"/>
  <c r="K21" i="11"/>
  <c r="F28" i="11"/>
  <c r="E28" i="11"/>
  <c r="F25" i="13"/>
  <c r="F29" i="13" s="1"/>
  <c r="D7" i="12"/>
  <c r="G7" i="12" s="1"/>
  <c r="G13" i="12"/>
  <c r="J14" i="12"/>
  <c r="E20" i="12"/>
  <c r="I26" i="13"/>
  <c r="E31" i="13" s="1"/>
  <c r="G7" i="11"/>
  <c r="G8" i="11" s="1"/>
  <c r="H6" i="11" s="1"/>
  <c r="F15" i="9"/>
  <c r="C16" i="9"/>
  <c r="F13" i="8"/>
  <c r="E13" i="9"/>
  <c r="F13" i="9" s="1"/>
  <c r="E14" i="9"/>
  <c r="F14" i="9" s="1"/>
  <c r="F19" i="9" s="1"/>
  <c r="C5" i="2"/>
  <c r="C8" i="2" s="1"/>
  <c r="B9" i="2"/>
  <c r="B10" i="2" s="1"/>
  <c r="B25" i="2"/>
  <c r="B33" i="2"/>
  <c r="I22" i="1"/>
  <c r="G32" i="1" s="1"/>
  <c r="H22" i="1"/>
  <c r="G22" i="1"/>
  <c r="F22" i="1"/>
  <c r="E22" i="1"/>
  <c r="D22" i="1"/>
  <c r="I21" i="1"/>
  <c r="I20" i="1"/>
  <c r="I19" i="1"/>
  <c r="I18" i="1"/>
  <c r="I17" i="1"/>
  <c r="B11" i="1"/>
  <c r="B10" i="1"/>
  <c r="B8" i="1"/>
  <c r="B5" i="1"/>
  <c r="D5" i="18" l="1"/>
  <c r="E5" i="18" s="1"/>
  <c r="D6" i="18"/>
  <c r="E6" i="18" s="1"/>
  <c r="G29" i="1"/>
  <c r="D30" i="1"/>
  <c r="F31" i="1"/>
  <c r="K22" i="11"/>
  <c r="E30" i="1"/>
  <c r="D28" i="1"/>
  <c r="D32" i="1"/>
  <c r="G14" i="11"/>
  <c r="G31" i="1"/>
  <c r="E28" i="1"/>
  <c r="H32" i="1"/>
  <c r="E16" i="8"/>
  <c r="H28" i="1"/>
  <c r="I6" i="13"/>
  <c r="I8" i="13" s="1"/>
  <c r="F29" i="1"/>
  <c r="I8" i="1" s="1"/>
  <c r="H30" i="1"/>
  <c r="E32" i="1"/>
  <c r="F16" i="8"/>
  <c r="F29" i="11"/>
  <c r="D7" i="18"/>
  <c r="E7" i="18" s="1"/>
  <c r="C33" i="2"/>
  <c r="D33" i="2" s="1"/>
  <c r="C25" i="2"/>
  <c r="D25" i="2" s="1"/>
  <c r="D20" i="18"/>
  <c r="E20" i="18" s="1"/>
  <c r="D19" i="18"/>
  <c r="E19" i="18" s="1"/>
  <c r="D9" i="18"/>
  <c r="E9" i="18" s="1"/>
  <c r="D31" i="13"/>
  <c r="H7" i="11"/>
  <c r="H8" i="11" s="1"/>
  <c r="F31" i="13"/>
  <c r="G8" i="12"/>
  <c r="H6" i="12" s="1"/>
  <c r="I25" i="13"/>
  <c r="E29" i="11"/>
  <c r="D28" i="11"/>
  <c r="K23" i="11"/>
  <c r="F16" i="9"/>
  <c r="E16" i="9"/>
  <c r="B11" i="2"/>
  <c r="C10" i="2"/>
  <c r="C9" i="2"/>
  <c r="F28" i="1"/>
  <c r="D29" i="1"/>
  <c r="H29" i="1"/>
  <c r="F30" i="1"/>
  <c r="D31" i="1"/>
  <c r="H31" i="1"/>
  <c r="F32" i="1"/>
  <c r="G28" i="1"/>
  <c r="E29" i="1"/>
  <c r="G30" i="1"/>
  <c r="E31" i="1"/>
  <c r="H33" i="1" l="1"/>
  <c r="I30" i="1"/>
  <c r="I31" i="1"/>
  <c r="F33" i="1"/>
  <c r="G33" i="1"/>
  <c r="E10" i="18"/>
  <c r="F5" i="18" s="1"/>
  <c r="E33" i="1"/>
  <c r="I32" i="1"/>
  <c r="E21" i="18"/>
  <c r="F20" i="18" s="1"/>
  <c r="F18" i="18"/>
  <c r="H7" i="12"/>
  <c r="H8" i="12" s="1"/>
  <c r="B12" i="2"/>
  <c r="C11" i="2"/>
  <c r="D33" i="1"/>
  <c r="I28" i="1"/>
  <c r="I33" i="1"/>
  <c r="I29" i="1"/>
  <c r="I5" i="1" s="1"/>
  <c r="I10" i="1" s="1"/>
  <c r="F6" i="18" l="1"/>
  <c r="F9" i="18"/>
  <c r="F7" i="18"/>
  <c r="F19" i="18"/>
  <c r="F21" i="18" s="1"/>
  <c r="F22" i="18" s="1"/>
  <c r="F8" i="18"/>
  <c r="C12" i="2"/>
  <c r="B13" i="2"/>
  <c r="F10" i="18" l="1"/>
  <c r="F11" i="18" s="1"/>
  <c r="E12" i="18" s="1"/>
  <c r="B14" i="2"/>
  <c r="C13" i="2"/>
  <c r="B15" i="2" l="1"/>
  <c r="C14" i="2"/>
  <c r="B16" i="2" l="1"/>
  <c r="C15" i="2"/>
  <c r="C16" i="2" l="1"/>
  <c r="B17" i="2"/>
  <c r="B18" i="2" l="1"/>
  <c r="C17" i="2"/>
  <c r="C18" i="2" l="1"/>
  <c r="B19" i="2"/>
  <c r="B20" i="2" l="1"/>
  <c r="C19" i="2"/>
  <c r="C20" i="2" l="1"/>
  <c r="B21" i="2"/>
  <c r="B22" i="2" l="1"/>
  <c r="C21" i="2"/>
  <c r="B23" i="2" l="1"/>
  <c r="C22" i="2"/>
  <c r="B24" i="2" l="1"/>
  <c r="C23" i="2"/>
  <c r="C24" i="2" l="1"/>
  <c r="B26" i="2"/>
  <c r="C26" i="2" l="1"/>
  <c r="B27" i="2"/>
  <c r="C27" i="2" l="1"/>
  <c r="B28" i="2"/>
  <c r="B29" i="2" l="1"/>
  <c r="C28" i="2"/>
  <c r="C29" i="2" l="1"/>
  <c r="B30" i="2"/>
  <c r="C30" i="2" l="1"/>
  <c r="B31" i="2"/>
  <c r="C31" i="2" l="1"/>
  <c r="B32" i="2"/>
  <c r="B34" i="2" l="1"/>
  <c r="C32" i="2"/>
  <c r="B35" i="2" l="1"/>
  <c r="C34" i="2"/>
  <c r="C35" i="2" l="1"/>
  <c r="B36" i="2"/>
  <c r="B37" i="2" l="1"/>
  <c r="C36" i="2"/>
  <c r="C37" i="2" l="1"/>
  <c r="B38" i="2"/>
  <c r="B39" i="2" l="1"/>
  <c r="C38" i="2"/>
  <c r="B40" i="2" l="1"/>
  <c r="C39" i="2"/>
  <c r="B41" i="2" l="1"/>
  <c r="C40" i="2"/>
  <c r="C41" i="2" l="1"/>
  <c r="B42" i="2"/>
  <c r="B43" i="2" l="1"/>
  <c r="C42" i="2"/>
  <c r="B44" i="2" l="1"/>
  <c r="C43" i="2"/>
  <c r="B45" i="2" l="1"/>
  <c r="C44" i="2"/>
  <c r="C45" i="2" l="1"/>
  <c r="B46" i="2"/>
  <c r="B47" i="2" l="1"/>
  <c r="C46" i="2"/>
  <c r="B48" i="2" l="1"/>
  <c r="C47" i="2"/>
  <c r="B49" i="2" l="1"/>
  <c r="C48" i="2"/>
  <c r="C49" i="2" l="1"/>
  <c r="B50" i="2"/>
  <c r="B51" i="2" l="1"/>
  <c r="C50" i="2"/>
  <c r="B52" i="2" l="1"/>
  <c r="C51" i="2"/>
  <c r="B53" i="2" l="1"/>
  <c r="C52" i="2"/>
  <c r="C53" i="2" l="1"/>
  <c r="B54" i="2"/>
  <c r="B55" i="2" l="1"/>
  <c r="C54" i="2"/>
  <c r="B56" i="2" l="1"/>
  <c r="C55" i="2"/>
  <c r="B57" i="2" l="1"/>
  <c r="C56" i="2"/>
  <c r="C57" i="2" l="1"/>
  <c r="B58" i="2"/>
  <c r="B59" i="2" l="1"/>
  <c r="C58" i="2"/>
  <c r="B60" i="2" l="1"/>
  <c r="C59" i="2"/>
  <c r="B61" i="2" l="1"/>
  <c r="C60" i="2"/>
  <c r="C61" i="2" l="1"/>
  <c r="B62" i="2"/>
  <c r="B63" i="2" l="1"/>
  <c r="C62" i="2"/>
  <c r="B64" i="2" l="1"/>
  <c r="C63" i="2"/>
  <c r="B65" i="2" l="1"/>
  <c r="C64" i="2"/>
  <c r="C65" i="2" l="1"/>
  <c r="B66" i="2"/>
  <c r="B67" i="2" l="1"/>
  <c r="C66" i="2"/>
  <c r="B68" i="2" l="1"/>
  <c r="C67" i="2"/>
  <c r="B69" i="2" l="1"/>
  <c r="C68" i="2"/>
  <c r="C69" i="2" l="1"/>
  <c r="B70" i="2"/>
  <c r="B71" i="2" l="1"/>
  <c r="C70" i="2"/>
  <c r="C71" i="2" l="1"/>
  <c r="B72" i="2"/>
  <c r="B73" i="2" l="1"/>
  <c r="C72" i="2"/>
  <c r="B74" i="2" l="1"/>
  <c r="C73" i="2"/>
  <c r="B75" i="2" l="1"/>
  <c r="C74" i="2"/>
  <c r="C75" i="2" l="1"/>
  <c r="B76" i="2"/>
  <c r="B77" i="2" l="1"/>
  <c r="C76" i="2"/>
  <c r="B78" i="2" l="1"/>
  <c r="C77" i="2"/>
  <c r="B79" i="2" l="1"/>
  <c r="C78" i="2"/>
  <c r="C79" i="2" l="1"/>
  <c r="B80" i="2"/>
  <c r="B81" i="2" l="1"/>
  <c r="C80" i="2"/>
  <c r="C81" i="2" l="1"/>
  <c r="B82" i="2"/>
  <c r="B83" i="2" l="1"/>
  <c r="C82" i="2"/>
  <c r="B84" i="2" l="1"/>
  <c r="C83" i="2"/>
  <c r="B85" i="2" l="1"/>
  <c r="C84" i="2"/>
  <c r="C85" i="2" l="1"/>
  <c r="B86" i="2"/>
  <c r="B87" i="2" l="1"/>
  <c r="C86" i="2"/>
  <c r="C87" i="2" l="1"/>
  <c r="B88" i="2"/>
  <c r="B89" i="2" l="1"/>
  <c r="C88" i="2"/>
  <c r="B90" i="2" l="1"/>
  <c r="C90" i="2" s="1"/>
  <c r="C89" i="2"/>
</calcChain>
</file>

<file path=xl/sharedStrings.xml><?xml version="1.0" encoding="utf-8"?>
<sst xmlns="http://schemas.openxmlformats.org/spreadsheetml/2006/main" count="1194" uniqueCount="501">
  <si>
    <t>Table 2-2 and 2-3: Gujarati's illustration of bivariate (joint) random variable (Tables below)</t>
  </si>
  <si>
    <t>On the difference between marginal (unconditional), joint, and conditional probability</t>
  </si>
  <si>
    <t>Input the number of printers sold (0-4):</t>
  </si>
  <si>
    <t>Input the number of PCs sold (0-4):</t>
  </si>
  <si>
    <t>Table 2-2: Frequency Distribution of Two Random Variables: Number of PCs sold and Number of Printers Sold</t>
  </si>
  <si>
    <t>Number of PCs Sold</t>
  </si>
  <si>
    <t>Total</t>
  </si>
  <si>
    <t>Printers</t>
  </si>
  <si>
    <t>Sold</t>
  </si>
  <si>
    <t>Table 2-3: Corresponding BIVARIATE PROBABILITY DISTRIBUTION:</t>
  </si>
  <si>
    <t>normal</t>
  </si>
  <si>
    <t>X</t>
  </si>
  <si>
    <t>std dev</t>
  </si>
  <si>
    <t>variance</t>
  </si>
  <si>
    <t>mean</t>
  </si>
  <si>
    <t>P(B|A)</t>
  </si>
  <si>
    <t>P(B)</t>
  </si>
  <si>
    <t>P(A|B)</t>
  </si>
  <si>
    <t>Passage</t>
  </si>
  <si>
    <t>Stalled</t>
  </si>
  <si>
    <t>Defeated</t>
  </si>
  <si>
    <t>Increase</t>
  </si>
  <si>
    <t>Decrease</t>
  </si>
  <si>
    <t>Question Setup:</t>
  </si>
  <si>
    <t>Good</t>
  </si>
  <si>
    <t>Neutral</t>
  </si>
  <si>
    <t>Poor</t>
  </si>
  <si>
    <t>Constant</t>
  </si>
  <si>
    <t>Corresponding Probability Matrix; i.e., Joint Probabilties</t>
  </si>
  <si>
    <t>Prob (Neutral | Constant) = Joint P(Neutral, Constant) / P(Constant)</t>
  </si>
  <si>
    <t xml:space="preserve">Prob (Neutral | Constant) = 6.0% / 15.5% = </t>
  </si>
  <si>
    <t>Prob (Passage | Constant) = Joint P(Passage, Constant) / P(Constant)</t>
  </si>
  <si>
    <t xml:space="preserve">Prob (Neutral | Constant) = 6.0% / 27.0% = </t>
  </si>
  <si>
    <t>Joint</t>
  </si>
  <si>
    <t>Post</t>
  </si>
  <si>
    <t>(1)</t>
  </si>
  <si>
    <t>Prior</t>
  </si>
  <si>
    <t>Cond'l</t>
  </si>
  <si>
    <t>Prob</t>
  </si>
  <si>
    <t>Events</t>
  </si>
  <si>
    <t>P[A(i)]</t>
  </si>
  <si>
    <t>P(B'|A)</t>
  </si>
  <si>
    <t>A&amp;B</t>
  </si>
  <si>
    <t>QE</t>
  </si>
  <si>
    <t>not QE</t>
  </si>
  <si>
    <t>Under</t>
  </si>
  <si>
    <t>Out</t>
  </si>
  <si>
    <t>Q(1) = QE 4, Q(2) = not QE 4</t>
  </si>
  <si>
    <t>P = OutPerform, P' = UnderPerform</t>
  </si>
  <si>
    <t>Conditional Prob</t>
  </si>
  <si>
    <t>Prob (P | Q[i])</t>
  </si>
  <si>
    <t>Prob (P' | Q[i])</t>
  </si>
  <si>
    <t>P</t>
  </si>
  <si>
    <t>P'</t>
  </si>
  <si>
    <t>Q(1) = Yes QE = Q</t>
  </si>
  <si>
    <t>Q(1)</t>
  </si>
  <si>
    <t>Q(2) = No QE = Q'</t>
  </si>
  <si>
    <t>Q(2)</t>
  </si>
  <si>
    <t>P[Q(1)|P]</t>
  </si>
  <si>
    <t>Prob (Q | . )</t>
  </si>
  <si>
    <t>Prob (Q' | . )</t>
  </si>
  <si>
    <t>j survive</t>
  </si>
  <si>
    <t>j default</t>
  </si>
  <si>
    <t>Investment Grade</t>
  </si>
  <si>
    <t>Survive</t>
  </si>
  <si>
    <t>Default</t>
  </si>
  <si>
    <t>Junk</t>
  </si>
  <si>
    <t>Bond</t>
  </si>
  <si>
    <t>Prob (i def | j def)</t>
  </si>
  <si>
    <t>Prob (j def | I def)</t>
  </si>
  <si>
    <t>A(1)</t>
  </si>
  <si>
    <t>A(2)</t>
  </si>
  <si>
    <t>G</t>
  </si>
  <si>
    <t>B</t>
  </si>
  <si>
    <t>A1</t>
  </si>
  <si>
    <t>A2</t>
  </si>
  <si>
    <t>Economy</t>
  </si>
  <si>
    <t>Downturn</t>
  </si>
  <si>
    <t>Stable</t>
  </si>
  <si>
    <t>Growth</t>
  </si>
  <si>
    <t>Bond B</t>
  </si>
  <si>
    <t>X^2</t>
  </si>
  <si>
    <t>p(x)</t>
  </si>
  <si>
    <t>sum</t>
  </si>
  <si>
    <t>a=</t>
  </si>
  <si>
    <t>x</t>
  </si>
  <si>
    <t>x^3</t>
  </si>
  <si>
    <t>Sum:</t>
  </si>
  <si>
    <t>a*x^3</t>
  </si>
  <si>
    <t>x*f(x)</t>
  </si>
  <si>
    <t xml:space="preserve">p * </t>
  </si>
  <si>
    <t>(x- mu)</t>
  </si>
  <si>
    <t>SQRT:</t>
  </si>
  <si>
    <t xml:space="preserve">p = f(x) = </t>
  </si>
  <si>
    <t>P(Y = 3 | X = i)</t>
  </si>
  <si>
    <t>Probabilities</t>
  </si>
  <si>
    <t>P(Y = 2 | X = i)</t>
  </si>
  <si>
    <t>Conditional</t>
  </si>
  <si>
    <t>P(Y = 1 | X = i)</t>
  </si>
  <si>
    <t>Uncond'l Pr(X = i)</t>
  </si>
  <si>
    <t>Y</t>
  </si>
  <si>
    <t>Pr (Y = i)</t>
  </si>
  <si>
    <t>Uncond'l</t>
  </si>
  <si>
    <t>z</t>
  </si>
  <si>
    <t>Cumulative Probabilities of Standard Normal Distribution</t>
  </si>
  <si>
    <t>vol</t>
  </si>
  <si>
    <t>HB p 41</t>
  </si>
  <si>
    <t>FRM</t>
  </si>
  <si>
    <t>Stock</t>
  </si>
  <si>
    <t>Bonds</t>
  </si>
  <si>
    <t>Outperform</t>
  </si>
  <si>
    <t>Underperform</t>
  </si>
  <si>
    <t>Unconditional P[Stock = i]</t>
  </si>
  <si>
    <t xml:space="preserve">Unconditional </t>
  </si>
  <si>
    <t>P[Bonds = i]</t>
  </si>
  <si>
    <t>Upgrade</t>
  </si>
  <si>
    <t>No Change</t>
  </si>
  <si>
    <t>Downgrade</t>
  </si>
  <si>
    <t>Bonds (B)</t>
  </si>
  <si>
    <t>Stock (S)</t>
  </si>
  <si>
    <t>Exhibit 2.3</t>
  </si>
  <si>
    <t>ARCH: Beyond this is archive</t>
  </si>
  <si>
    <t>% Return</t>
  </si>
  <si>
    <t>Continuous Density</t>
  </si>
  <si>
    <t>Continuous Distribution</t>
  </si>
  <si>
    <t>Discrete Density</t>
  </si>
  <si>
    <t>Discrete Distribution</t>
  </si>
  <si>
    <t>Probability distributions</t>
  </si>
  <si>
    <t>Out-</t>
  </si>
  <si>
    <t>Under-</t>
  </si>
  <si>
    <r>
      <t xml:space="preserve">P[B </t>
    </r>
    <r>
      <rPr>
        <b/>
        <sz val="11"/>
        <color theme="1"/>
        <rFont val="Calibri"/>
        <family val="2"/>
      </rPr>
      <t>↑</t>
    </r>
    <r>
      <rPr>
        <b/>
        <sz val="11"/>
        <color theme="1"/>
        <rFont val="Calibri"/>
        <family val="2"/>
        <scheme val="minor"/>
      </rPr>
      <t xml:space="preserve"> | S = OutP]</t>
    </r>
  </si>
  <si>
    <t>P[B ↓ | S = OutP]</t>
  </si>
  <si>
    <t>P[B ↑ | S = UnderP]</t>
  </si>
  <si>
    <t>P[B No Δ | S = UnderP]</t>
  </si>
  <si>
    <t>P[B ↓ | S = UnderP]</t>
  </si>
  <si>
    <t>sum to 100%. Exterior cells are unconditional probabilities</t>
  </si>
  <si>
    <t>perform (O)</t>
  </si>
  <si>
    <t>perform (U)</t>
  </si>
  <si>
    <t>S = O</t>
  </si>
  <si>
    <t>S = U</t>
  </si>
  <si>
    <t>Uncond'l P[Stock = i]</t>
  </si>
  <si>
    <t xml:space="preserve">Uncond'l </t>
  </si>
  <si>
    <r>
      <t xml:space="preserve">Probability Matrix: Interior cells are </t>
    </r>
    <r>
      <rPr>
        <b/>
        <sz val="11"/>
        <color theme="5" tint="-0.249977111117893"/>
        <rFont val="Calibri"/>
        <family val="2"/>
        <scheme val="minor"/>
      </rPr>
      <t>JOINT</t>
    </r>
    <r>
      <rPr>
        <b/>
        <sz val="11"/>
        <color theme="1"/>
        <rFont val="Calibri"/>
        <family val="2"/>
        <scheme val="minor"/>
      </rPr>
      <t xml:space="preserve"> probabilities and</t>
    </r>
  </si>
  <si>
    <r>
      <t xml:space="preserve"> P[ B</t>
    </r>
    <r>
      <rPr>
        <b/>
        <sz val="11"/>
        <color theme="1"/>
        <rFont val="Calibri"/>
        <family val="2"/>
      </rPr>
      <t>↑</t>
    </r>
    <r>
      <rPr>
        <b/>
        <sz val="11"/>
        <color theme="1"/>
        <rFont val="Calibri"/>
        <family val="2"/>
        <scheme val="minor"/>
      </rPr>
      <t xml:space="preserve"> ] </t>
    </r>
  </si>
  <si>
    <t>P[ B↓ ]</t>
  </si>
  <si>
    <t>P[B ↔ | S = OutP]</t>
  </si>
  <si>
    <t>P[B ↔ ]</t>
  </si>
  <si>
    <t>Joint Probabilities</t>
  </si>
  <si>
    <t>Unconditional Probabilities</t>
  </si>
  <si>
    <t>(are inside the probability matrix)</t>
  </si>
  <si>
    <t>(are outside the probability matrix)</t>
  </si>
  <si>
    <t>NOT a probability matrix, but can easily be translated</t>
  </si>
  <si>
    <t>My view is that this contains three exhibits</t>
  </si>
  <si>
    <t>Exhibit 1</t>
  </si>
  <si>
    <t>Exhibit 2</t>
  </si>
  <si>
    <t>Exhibit 3</t>
  </si>
  <si>
    <t>(prob</t>
  </si>
  <si>
    <t>matrix</t>
  </si>
  <si>
    <t xml:space="preserve">&amp; </t>
  </si>
  <si>
    <t>cond'l</t>
  </si>
  <si>
    <t>probs)</t>
  </si>
  <si>
    <t>(joint</t>
  </si>
  <si>
    <t>prob</t>
  </si>
  <si>
    <t>highlit)</t>
  </si>
  <si>
    <t>(uncond'l</t>
  </si>
  <si>
    <r>
      <t xml:space="preserve">Sometimes </t>
    </r>
    <r>
      <rPr>
        <b/>
        <sz val="11"/>
        <color theme="5" tint="-0.249977111117893"/>
        <rFont val="Calibri"/>
        <family val="2"/>
        <scheme val="minor"/>
      </rPr>
      <t>CONDITIONAL</t>
    </r>
    <r>
      <rPr>
        <b/>
        <sz val="11"/>
        <color theme="1"/>
        <rFont val="Calibri"/>
        <family val="2"/>
        <scheme val="minor"/>
      </rPr>
      <t xml:space="preserve"> probabilities are given. This is</t>
    </r>
  </si>
  <si>
    <t>Ex 2.3</t>
  </si>
  <si>
    <t>arch</t>
  </si>
  <si>
    <t>pdf_CDF_source</t>
  </si>
  <si>
    <t>319.2 (2)</t>
  </si>
  <si>
    <t>8.2. Standard Normal pdf CDF</t>
  </si>
  <si>
    <t>8.2 Discrete Probabilities</t>
  </si>
  <si>
    <t>8.2 Probability Matrix</t>
  </si>
  <si>
    <t>8.2 Bayes Theorem p37-38</t>
  </si>
  <si>
    <t>8.2. Bayes Theorem p41</t>
  </si>
  <si>
    <t>8.2 Bayes Theorem  p43</t>
  </si>
  <si>
    <t>interpolate</t>
  </si>
  <si>
    <t>Conditional Probability that the Third Loan also Defaulted</t>
  </si>
  <si>
    <t>Probability of exactly 3 defaults</t>
  </si>
  <si>
    <t>Probability of exactly 2 defaults</t>
  </si>
  <si>
    <t>Single Period Non-Default Rate</t>
  </si>
  <si>
    <t>3. Loan 2 and Loan 3 default, and Loan 1 survives</t>
  </si>
  <si>
    <t>2. Loan 1 and Loan 3 default, and Loan 2 survives</t>
  </si>
  <si>
    <t>1. Loan 1 and Loan 2 default, and Loan 3 survives</t>
  </si>
  <si>
    <t>Single Period Default Rate</t>
  </si>
  <si>
    <t>Possible Scenarios Where Two Loans Default</t>
  </si>
  <si>
    <t>Stock, S</t>
  </si>
  <si>
    <t>P(X = i)</t>
  </si>
  <si>
    <t>Up, U</t>
  </si>
  <si>
    <t>Down, D</t>
  </si>
  <si>
    <t>Earnings,   E</t>
  </si>
  <si>
    <t>Beat</t>
  </si>
  <si>
    <t>In-line</t>
  </si>
  <si>
    <t>Miss</t>
  </si>
  <si>
    <t>Uncond'l P(Y = j)</t>
  </si>
  <si>
    <t>S = D</t>
  </si>
  <si>
    <t xml:space="preserve">Conditional on S:   </t>
  </si>
  <si>
    <t>P( E = Beat | S =U )</t>
  </si>
  <si>
    <t>P( E = Beat | S =D )</t>
  </si>
  <si>
    <t>P( E = In-line | S =U )</t>
  </si>
  <si>
    <t>P( E = In-line | S =D )</t>
  </si>
  <si>
    <t>P( E = Miss | S =U )</t>
  </si>
  <si>
    <t>P( E = Miss | S =D )</t>
  </si>
  <si>
    <r>
      <t xml:space="preserve">P(X = 1 | Y = 1) </t>
    </r>
    <r>
      <rPr>
        <b/>
        <sz val="11"/>
        <color theme="1"/>
        <rFont val="Arial"/>
        <family val="2"/>
      </rPr>
      <t>→</t>
    </r>
  </si>
  <si>
    <r>
      <rPr>
        <b/>
        <sz val="11"/>
        <color theme="1"/>
        <rFont val="Arial"/>
        <family val="2"/>
      </rPr>
      <t>←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P(X = 1 | Y = 3)</t>
    </r>
  </si>
  <si>
    <r>
      <t xml:space="preserve">P(X = 2 | Y = 1) </t>
    </r>
    <r>
      <rPr>
        <b/>
        <sz val="11"/>
        <color theme="1"/>
        <rFont val="Arial"/>
        <family val="2"/>
      </rPr>
      <t>→</t>
    </r>
  </si>
  <si>
    <r>
      <rPr>
        <b/>
        <sz val="11"/>
        <color theme="1"/>
        <rFont val="Arial"/>
        <family val="2"/>
      </rPr>
      <t>←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P(X = 2 | Y = 3)</t>
    </r>
  </si>
  <si>
    <r>
      <t xml:space="preserve">P(X = 3 | Y = 1) </t>
    </r>
    <r>
      <rPr>
        <b/>
        <sz val="11"/>
        <color theme="1"/>
        <rFont val="Arial"/>
        <family val="2"/>
      </rPr>
      <t>→</t>
    </r>
  </si>
  <si>
    <r>
      <rPr>
        <b/>
        <sz val="11"/>
        <color theme="1"/>
        <rFont val="Arial"/>
        <family val="2"/>
      </rPr>
      <t>←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P(X = 3 | Y = 3)</t>
    </r>
  </si>
  <si>
    <t>Bayes: Classic Two Bond defaults</t>
  </si>
  <si>
    <t>Bond A</t>
  </si>
  <si>
    <t>Unconditional</t>
  </si>
  <si>
    <t>(A')</t>
  </si>
  <si>
    <t>(A)</t>
  </si>
  <si>
    <t>B defaults</t>
  </si>
  <si>
    <t>Survive (B')</t>
  </si>
  <si>
    <t xml:space="preserve"> defaults</t>
  </si>
  <si>
    <t>Default (B)</t>
  </si>
  <si>
    <t>B survives</t>
  </si>
  <si>
    <t>survives</t>
  </si>
  <si>
    <t>David's Fraudulent Transactions example (in video)</t>
  </si>
  <si>
    <t>Actual Transaction</t>
  </si>
  <si>
    <t>Fraud</t>
  </si>
  <si>
    <t>Legit</t>
  </si>
  <si>
    <t>F</t>
  </si>
  <si>
    <t>L</t>
  </si>
  <si>
    <t>Positive</t>
  </si>
  <si>
    <t>Algo     Says</t>
  </si>
  <si>
    <t>Pos (tF)</t>
  </si>
  <si>
    <t>Disease</t>
  </si>
  <si>
    <t>Neg (tL)</t>
  </si>
  <si>
    <t>Negative</t>
  </si>
  <si>
    <t>Actual</t>
  </si>
  <si>
    <t>Healthy</t>
  </si>
  <si>
    <t>Binomial distribution: moments 1 - 4</t>
  </si>
  <si>
    <t>F(X)</t>
  </si>
  <si>
    <t>Bin</t>
  </si>
  <si>
    <t>Binomial distribution</t>
  </si>
  <si>
    <t>Central Moments</t>
  </si>
  <si>
    <t>1st</t>
  </si>
  <si>
    <t>2nd</t>
  </si>
  <si>
    <t>3rd</t>
  </si>
  <si>
    <t>f(X)</t>
  </si>
  <si>
    <t>Xf(X)</t>
  </si>
  <si>
    <r>
      <t>f(X)(X-µ)</t>
    </r>
    <r>
      <rPr>
        <b/>
        <vertAlign val="superscript"/>
        <sz val="10"/>
        <color indexed="8"/>
        <rFont val="Arial"/>
        <family val="2"/>
      </rPr>
      <t>2</t>
    </r>
  </si>
  <si>
    <r>
      <t>f(X)(X-µ)</t>
    </r>
    <r>
      <rPr>
        <b/>
        <vertAlign val="superscript"/>
        <sz val="10"/>
        <color indexed="8"/>
        <rFont val="Arial"/>
        <family val="2"/>
      </rPr>
      <t>3</t>
    </r>
  </si>
  <si>
    <r>
      <t>f(X)(X-µ)</t>
    </r>
    <r>
      <rPr>
        <b/>
        <vertAlign val="superscript"/>
        <sz val="10"/>
        <color indexed="8"/>
        <rFont val="Arial"/>
        <family val="2"/>
      </rPr>
      <t>4</t>
    </r>
  </si>
  <si>
    <t>p</t>
  </si>
  <si>
    <t>↑</t>
  </si>
  <si>
    <t>Variance</t>
  </si>
  <si>
    <t>Skew</t>
  </si>
  <si>
    <t>Kurtosis</t>
  </si>
  <si>
    <t>pdf</t>
  </si>
  <si>
    <t>CDF</t>
  </si>
  <si>
    <t>Mean, µ</t>
  </si>
  <si>
    <t>Std Dev, σ</t>
  </si>
  <si>
    <r>
      <t>z = F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(p)</t>
    </r>
  </si>
  <si>
    <t>X =</t>
  </si>
  <si>
    <t>= µ + σ*z</t>
  </si>
  <si>
    <t>Start</t>
  </si>
  <si>
    <t>Step</t>
  </si>
  <si>
    <t>Mean = Var, λ</t>
  </si>
  <si>
    <t>pmf</t>
  </si>
  <si>
    <t>Min</t>
  </si>
  <si>
    <t>Max</t>
  </si>
  <si>
    <t>a</t>
  </si>
  <si>
    <t>f(X) =</t>
  </si>
  <si>
    <t xml:space="preserve">F(X) = </t>
  </si>
  <si>
    <t xml:space="preserve">k = </t>
  </si>
  <si>
    <t>aX^2</t>
  </si>
  <si>
    <r>
      <t>aX^3</t>
    </r>
    <r>
      <rPr>
        <b/>
        <sz val="11"/>
        <color theme="1"/>
        <rFont val="Calibri"/>
        <family val="2"/>
        <scheme val="minor"/>
      </rPr>
      <t>/3</t>
    </r>
  </si>
  <si>
    <t>p = F(X)</t>
  </si>
  <si>
    <t>=RAND()</t>
  </si>
  <si>
    <r>
      <t>X = F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(p)</t>
    </r>
  </si>
  <si>
    <t>(1) Normal: plot vertical lines</t>
  </si>
  <si>
    <t>• Describe and distinguish between continuous and discrete random variables.</t>
  </si>
  <si>
    <t>• Define and distinguish between the probability density function, the cumulative distribution function, and the</t>
  </si>
  <si>
    <t>inverse cumulative distribution function</t>
  </si>
  <si>
    <t>Celsius to Farenheit, 30 days of data, equal probability each day</t>
  </si>
  <si>
    <t>Correct Transformation</t>
  </si>
  <si>
    <t>Broken Transformation</t>
  </si>
  <si>
    <t>INPUT</t>
  </si>
  <si>
    <t>Temp (F)= 32 + 1.8*(Temp (C))</t>
  </si>
  <si>
    <t>Temp (F)= 32 - 1.8*(Temp (C))</t>
  </si>
  <si>
    <t>Day</t>
  </si>
  <si>
    <t>Temp. (C)</t>
  </si>
  <si>
    <t>4th</t>
  </si>
  <si>
    <t>Temp (F)</t>
  </si>
  <si>
    <t>MeanC</t>
  </si>
  <si>
    <t>VarianceC</t>
  </si>
  <si>
    <t>SkewC</t>
  </si>
  <si>
    <t>KurtosisC</t>
  </si>
  <si>
    <t>MeanF</t>
  </si>
  <si>
    <t>VarianceF</t>
  </si>
  <si>
    <t>SkewF</t>
  </si>
  <si>
    <t>KurtosisF</t>
  </si>
  <si>
    <t>MeanB</t>
  </si>
  <si>
    <t>VarianceB</t>
  </si>
  <si>
    <t>SkewB</t>
  </si>
  <si>
    <t>KurtosisB</t>
  </si>
  <si>
    <t>Std. Dev.C</t>
  </si>
  <si>
    <t>Std. Dev.F</t>
  </si>
  <si>
    <t>Std. Dev.B</t>
  </si>
  <si>
    <t>a=32</t>
  </si>
  <si>
    <t>b=1.8</t>
  </si>
  <si>
    <t>b=-1.8</t>
  </si>
  <si>
    <t>(1.8^2)*VarianceC-VarianceF</t>
  </si>
  <si>
    <t>VarianceF equals 1.8 squared times the VarianceC</t>
  </si>
  <si>
    <t>VarianceB equals 1.8 squared times VarianceC</t>
  </si>
  <si>
    <t>CHECK</t>
  </si>
  <si>
    <t>Std. Dev.F equals 1.8 times Std. Dev.C</t>
  </si>
  <si>
    <t>Std. Dev.B equals 1.8 times Std. Dev.C</t>
  </si>
  <si>
    <t>SKewF equals SkewC</t>
  </si>
  <si>
    <t>SkewB equals the negative of SkewC, as expected since b is negative</t>
  </si>
  <si>
    <t>KurtosisC equals KurtosisF equals KurtosisB</t>
  </si>
  <si>
    <t>Distribution: binomial</t>
  </si>
  <si>
    <t>N</t>
  </si>
  <si>
    <t>Binomial tree</t>
  </si>
  <si>
    <t>u</t>
  </si>
  <si>
    <t>d</t>
  </si>
  <si>
    <t>Distribution: Poisson</t>
  </si>
  <si>
    <t>Distribution: Normal</t>
  </si>
  <si>
    <t>sigma</t>
  </si>
  <si>
    <t>Distribution: Lognormal</t>
  </si>
  <si>
    <t>Distribution: Chi-squared</t>
  </si>
  <si>
    <t>Distribution: Student's t</t>
  </si>
  <si>
    <t>Distribution: F-distribution</t>
  </si>
  <si>
    <t>k1</t>
  </si>
  <si>
    <t>k2</t>
  </si>
  <si>
    <t>Distribution: Triangular</t>
  </si>
  <si>
    <t>b</t>
  </si>
  <si>
    <t>c</t>
  </si>
  <si>
    <t>Distribution: Beta</t>
  </si>
  <si>
    <t>Distribution: Normal Mixture</t>
  </si>
  <si>
    <t>weight</t>
  </si>
  <si>
    <t>Mean</t>
  </si>
  <si>
    <t>Std Dev</t>
  </si>
  <si>
    <t>Distribution: Normal vs binomial vs Poisson</t>
  </si>
  <si>
    <t>binomial</t>
  </si>
  <si>
    <t>Poisson</t>
  </si>
  <si>
    <t>lambda</t>
  </si>
  <si>
    <t>n</t>
  </si>
  <si>
    <t>var(Y)</t>
  </si>
  <si>
    <t>var(X)</t>
  </si>
  <si>
    <t>l</t>
  </si>
  <si>
    <t>variance(2)</t>
  </si>
  <si>
    <t>b2</t>
  </si>
  <si>
    <t>a2</t>
  </si>
  <si>
    <t>variance(1)</t>
  </si>
  <si>
    <t>b1</t>
  </si>
  <si>
    <t>A</t>
  </si>
  <si>
    <t>a1</t>
  </si>
  <si>
    <t>https://forum.bionicturtle.com/threads/p1-t2-20-5-common-univariate-random-variables-uniform-bernoulli-binomial-and-poisson.23295/</t>
  </si>
  <si>
    <t>pnq</t>
  </si>
  <si>
    <t>pn</t>
  </si>
  <si>
    <t>P(V | B)</t>
  </si>
  <si>
    <t>P(Q | B)</t>
  </si>
  <si>
    <t>P(M | B)</t>
  </si>
  <si>
    <t>Doesn't</t>
  </si>
  <si>
    <t>Years of Beating:</t>
  </si>
  <si>
    <t>Beats</t>
  </si>
  <si>
    <t>Doesn't, B'</t>
  </si>
  <si>
    <t>Beats, B</t>
  </si>
  <si>
    <t>Perform</t>
  </si>
  <si>
    <t>Manager</t>
  </si>
  <si>
    <t>M</t>
  </si>
  <si>
    <t>Q</t>
  </si>
  <si>
    <t>V</t>
  </si>
  <si>
    <t>Momentum</t>
  </si>
  <si>
    <t>Quality</t>
  </si>
  <si>
    <t>Value</t>
  </si>
  <si>
    <t>Underperformers</t>
  </si>
  <si>
    <t>Outperformers</t>
  </si>
  <si>
    <t>Miller's Many-State Problem: Three manager skill levels</t>
  </si>
  <si>
    <t>D</t>
  </si>
  <si>
    <t>C</t>
  </si>
  <si>
    <t>rating of</t>
  </si>
  <si>
    <t xml:space="preserve">From a </t>
  </si>
  <si>
    <t>To a rating of:</t>
  </si>
  <si>
    <t>4.0%/25.0% = 16.0%</t>
  </si>
  <si>
    <t xml:space="preserve">Conditional Probability (Y = 5.0 | X = 3.0) = </t>
  </si>
  <si>
    <t>20.0% + 20.0% + 15.0% = 55.0%</t>
  </si>
  <si>
    <t xml:space="preserve">Unconditional Probability (X = 2.0) = </t>
  </si>
  <si>
    <t xml:space="preserve">Joint Probability (X = 1.0 ∩ Y = 3.0) = </t>
  </si>
  <si>
    <t>E(X^2)</t>
  </si>
  <si>
    <t>E(X)</t>
  </si>
  <si>
    <t>Down Inflation Conditional on Bear Market</t>
  </si>
  <si>
    <t xml:space="preserve">Pr(Bull Market | Up Inflation) </t>
  </si>
  <si>
    <t>Up</t>
  </si>
  <si>
    <t>Steady</t>
  </si>
  <si>
    <t>Bear Market Conditional on inflation</t>
  </si>
  <si>
    <t>Down</t>
  </si>
  <si>
    <t>Inflation (i)</t>
  </si>
  <si>
    <t>Bull</t>
  </si>
  <si>
    <t>Range-bound</t>
  </si>
  <si>
    <t>Bear</t>
  </si>
  <si>
    <t>Market (M)</t>
  </si>
  <si>
    <t xml:space="preserve">P [X &gt; 2.2722] </t>
  </si>
  <si>
    <t>Standard Dev</t>
  </si>
  <si>
    <t xml:space="preserve">Sqrt σ(Z) </t>
  </si>
  <si>
    <t xml:space="preserve">σ(Z) </t>
  </si>
  <si>
    <t>cov</t>
  </si>
  <si>
    <t>rho</t>
  </si>
  <si>
    <t>σ(Y)</t>
  </si>
  <si>
    <t>σ(X)</t>
  </si>
  <si>
    <t>Correlation</t>
  </si>
  <si>
    <t>σ^2(Y)</t>
  </si>
  <si>
    <t>E(Y^2)</t>
  </si>
  <si>
    <t>Y^2</t>
  </si>
  <si>
    <t>σ^2(X)</t>
  </si>
  <si>
    <t>E(Y)</t>
  </si>
  <si>
    <t>Kurt(X)</t>
  </si>
  <si>
    <t>Standardized 4th central moments</t>
  </si>
  <si>
    <t>Skew(X)</t>
  </si>
  <si>
    <t>Standardized 3rd central moments</t>
  </si>
  <si>
    <t>Standard Deviations</t>
  </si>
  <si>
    <t>Assumptions: Probability Matrix</t>
  </si>
  <si>
    <t>Avg:</t>
  </si>
  <si>
    <r>
      <t>(X - µ</t>
    </r>
    <r>
      <rPr>
        <b/>
        <vertAlign val="subscript"/>
        <sz val="11"/>
        <color indexed="8"/>
        <rFont val="Calibri"/>
        <family val="2"/>
      </rPr>
      <t>X</t>
    </r>
    <r>
      <rPr>
        <b/>
        <sz val="11"/>
        <color indexed="8"/>
        <rFont val="Calibri"/>
        <family val="2"/>
      </rPr>
      <t>)</t>
    </r>
    <r>
      <rPr>
        <b/>
        <vertAlign val="superscript"/>
        <sz val="11"/>
        <color indexed="8"/>
        <rFont val="Calibri"/>
        <family val="2"/>
      </rPr>
      <t>4</t>
    </r>
    <r>
      <rPr>
        <b/>
        <sz val="11"/>
        <color indexed="8"/>
        <rFont val="Calibri"/>
        <family val="2"/>
      </rPr>
      <t>·f(X)</t>
    </r>
  </si>
  <si>
    <r>
      <t>(X - µ</t>
    </r>
    <r>
      <rPr>
        <b/>
        <vertAlign val="subscript"/>
        <sz val="11"/>
        <color indexed="8"/>
        <rFont val="Calibri"/>
        <family val="2"/>
      </rPr>
      <t>X</t>
    </r>
    <r>
      <rPr>
        <b/>
        <sz val="11"/>
        <color indexed="8"/>
        <rFont val="Calibri"/>
        <family val="2"/>
      </rPr>
      <t>)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·f(X)</t>
    </r>
  </si>
  <si>
    <r>
      <t>(X - µ</t>
    </r>
    <r>
      <rPr>
        <b/>
        <vertAlign val="subscript"/>
        <sz val="11"/>
        <color indexed="8"/>
        <rFont val="Calibri"/>
        <family val="2"/>
      </rPr>
      <t>X</t>
    </r>
    <r>
      <rPr>
        <b/>
        <sz val="11"/>
        <color indexed="8"/>
        <rFont val="Calibri"/>
        <family val="2"/>
      </rPr>
      <t>)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·f(X)</t>
    </r>
  </si>
  <si>
    <t xml:space="preserve">X*f(X) </t>
  </si>
  <si>
    <t xml:space="preserve">f(X) </t>
  </si>
  <si>
    <t>Central moments ("about the mean")</t>
  </si>
  <si>
    <t>https://www.bionicturtle.com/forum/threads/coskew-and-cokurtosis-in-miller-chapter-3-p1-frm.6808/</t>
  </si>
  <si>
    <t>Variance and Standard Deviation: Miller's SAMPLE PROBLEM</t>
  </si>
  <si>
    <t>Exp</t>
  </si>
  <si>
    <t>stdDev</t>
  </si>
  <si>
    <t>Pr(X &lt;= 30)</t>
  </si>
  <si>
    <t>StdDev</t>
  </si>
  <si>
    <t>X+Y</t>
  </si>
  <si>
    <t>Normal Mixture distribution</t>
  </si>
  <si>
    <t>ratio2</t>
  </si>
  <si>
    <t>ratio1</t>
  </si>
  <si>
    <t>p value</t>
  </si>
  <si>
    <t>Null: variances are from same</t>
  </si>
  <si>
    <t>FINV()</t>
  </si>
  <si>
    <t>Significance</t>
  </si>
  <si>
    <t>Confidence</t>
  </si>
  <si>
    <t>F ratio</t>
  </si>
  <si>
    <t>d.f.</t>
  </si>
  <si>
    <t>Sample</t>
  </si>
  <si>
    <t>Smaller variance</t>
  </si>
  <si>
    <t>Larger variance</t>
  </si>
  <si>
    <t>Score</t>
  </si>
  <si>
    <t>BT notes</t>
  </si>
  <si>
    <t>page 129</t>
  </si>
  <si>
    <t>page 124</t>
  </si>
  <si>
    <t>Credit</t>
  </si>
  <si>
    <t>Gujarati 5.20</t>
  </si>
  <si>
    <t>Gujarati 5.5</t>
  </si>
  <si>
    <t>The F ratio (a.k.a., variance ratio)  = variance / variance [note: greater variance in numerator, so F ratio &gt;= 1.0]</t>
  </si>
  <si>
    <t>As both d.f. increase (there are two d.f.s), converges to normal (like the student's t and the chi-square)</t>
  </si>
  <si>
    <t>Only positive values with POSITIVE SKEW (like the chi-square distribution)</t>
  </si>
  <si>
    <t xml:space="preserve">Key properties: </t>
  </si>
  <si>
    <t>To test (compare) if TWO SAMPLE VARIANCES are drawn from the same population</t>
  </si>
  <si>
    <t>F Distribution</t>
  </si>
  <si>
    <t>Table of Contents</t>
  </si>
  <si>
    <t>TOC</t>
  </si>
  <si>
    <t>QA1 Slide 4</t>
  </si>
  <si>
    <t>QA1 Slide 6</t>
  </si>
  <si>
    <t>QA1 Slide 7</t>
  </si>
  <si>
    <t xml:space="preserve">QA1 Slide 13 </t>
  </si>
  <si>
    <t>QA1 Slide 14 based on this</t>
  </si>
  <si>
    <t>QA1 Slide 17</t>
  </si>
  <si>
    <t>QA 1 Slide 19</t>
  </si>
  <si>
    <t>20.1.1</t>
  </si>
  <si>
    <t>20.1.2</t>
  </si>
  <si>
    <t>20.2.3</t>
  </si>
  <si>
    <t>QA2 Slide 3</t>
  </si>
  <si>
    <t>QA2 Slide 4</t>
  </si>
  <si>
    <t>QA2 Slide 6a</t>
  </si>
  <si>
    <t>QA2 Slide 6b</t>
  </si>
  <si>
    <t>QA2 Slide 7a</t>
  </si>
  <si>
    <t>QA2 Slide 7b</t>
  </si>
  <si>
    <t>QA2 Slide 8a</t>
  </si>
  <si>
    <t>QA2 Slide 8b</t>
  </si>
  <si>
    <t>QA2 Slide 10</t>
  </si>
  <si>
    <t>QA2 Slide 11</t>
  </si>
  <si>
    <t xml:space="preserve">QA2 Slide 12 </t>
  </si>
  <si>
    <t>QA2 Slide 15</t>
  </si>
  <si>
    <t>20.4.1</t>
  </si>
  <si>
    <t>20.40.3</t>
  </si>
  <si>
    <t>712-1-skew</t>
  </si>
  <si>
    <t>QA3-binomial</t>
  </si>
  <si>
    <t>QA3-binomial-tree</t>
  </si>
  <si>
    <t>QA3-Poisson</t>
  </si>
  <si>
    <t>QA3-normal_</t>
  </si>
  <si>
    <t>QA3-lognormal</t>
  </si>
  <si>
    <t>QA3-chi^2</t>
  </si>
  <si>
    <t>QA3-students-t</t>
  </si>
  <si>
    <t>QA3-F-distr</t>
  </si>
  <si>
    <t>QA3-triangular</t>
  </si>
  <si>
    <t>QA3-beta</t>
  </si>
  <si>
    <t>QA3-normal-mixture</t>
  </si>
  <si>
    <t>QA3-Normal_binomial_Poisson</t>
  </si>
  <si>
    <t>BT20.5.1</t>
  </si>
  <si>
    <t>BT20.5.2</t>
  </si>
  <si>
    <t>20.6.1.</t>
  </si>
  <si>
    <t>20.7.2</t>
  </si>
  <si>
    <t>20.7.3.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</si>
</sst>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(* #,##0.00_);_(* \(#,##0.00\);_(* &quot;-&quot;??_);_(@_)"/>
    <numFmt numFmtId="164" formatCode="0.000%"/>
    <numFmt numFmtId="165" formatCode="_(* #,##0.0_);_(* \(#,##0.0\);_(* &quot;-&quot;??_);_(@_)"/>
    <numFmt numFmtId="166" formatCode="0.0%"/>
    <numFmt numFmtId="167" formatCode="0.000"/>
    <numFmt numFmtId="168" formatCode="0.0000"/>
    <numFmt numFmtId="169" formatCode="0.0000%"/>
    <numFmt numFmtId="170" formatCode="_(* #,##0.0000_);_(* \(#,##0.0000\);_(* &quot;-&quot;??_);_(@_)"/>
    <numFmt numFmtId="171" formatCode="0.00000"/>
    <numFmt numFmtId="172" formatCode="0.000000%"/>
    <numFmt numFmtId="173" formatCode="0.0"/>
    <numFmt numFmtId="174" formatCode="_(* #,##0.000_);_(* \(#,##0.000\);_(* &quot;-&quot;??_);_(@_)"/>
    <numFmt numFmtId="175" formatCode="0.00%\ &quot;/ &quot;"/>
    <numFmt numFmtId="176" formatCode="0.0000000000000000%"/>
    <numFmt numFmtId="177" formatCode="0.000000000000000%"/>
    <numFmt numFmtId="178" formatCode="_(* #,##0_);_(* \(#,##0\);_(* &quot;-&quot;??_);_(@_)"/>
    <numFmt numFmtId="179" formatCode="&quot;n= &quot;#"/>
    <numFmt numFmtId="180" formatCode="&quot;p= &quot;#,##0.00"/>
    <numFmt numFmtId="181" formatCode="&quot;$&quot;#,##0.00"/>
    <numFmt numFmtId="182" formatCode="_-* #,##0.00_-;\-* #,##0.00_-;_-* &quot;-&quot;??_-;_-@_-"/>
    <numFmt numFmtId="183" formatCode="_-* #,##0.0000_-;\-* #,##0.0000_-;_-* &quot;-&quot;??_-;_-@_-"/>
    <numFmt numFmtId="184" formatCode="_(* #,##0.0_);_(* \(#,##0.0\);_(* &quot;-&quot;?_);_(@_)"/>
    <numFmt numFmtId="185" formatCode="General&quot;th&quot;"/>
    <numFmt numFmtId="186" formatCode="General&quot;rd&quot;"/>
    <numFmt numFmtId="187" formatCode="General&quot;nd&quot;"/>
    <numFmt numFmtId="188" formatCode="_(* #,##0.00000_);_(* \(#,##0.000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indexed="8"/>
      <name val="Sans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sz val="11"/>
      <color theme="1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9"/>
      <color rgb="FF231F20"/>
      <name val="Gotham-Book"/>
    </font>
    <font>
      <b/>
      <sz val="11"/>
      <color rgb="FF3F3F76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0000"/>
      <name val="Arial"/>
      <family val="2"/>
    </font>
    <font>
      <sz val="11"/>
      <color rgb="FF323232"/>
      <name val="Arial"/>
      <family val="2"/>
    </font>
    <font>
      <b/>
      <sz val="11"/>
      <color rgb="FF000000"/>
      <name val="Arial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Calibri"/>
      <family val="2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EDEA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2"/>
        <bgColor indexed="8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170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8" fillId="21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8" fillId="0" borderId="0"/>
  </cellStyleXfs>
  <cellXfs count="613">
    <xf numFmtId="0" fontId="0" fillId="0" borderId="0" xfId="0"/>
    <xf numFmtId="0" fontId="3" fillId="2" borderId="0" xfId="1" applyFont="1" applyFill="1"/>
    <xf numFmtId="0" fontId="2" fillId="2" borderId="0" xfId="1" applyFill="1"/>
    <xf numFmtId="0" fontId="2" fillId="0" borderId="0" xfId="1"/>
    <xf numFmtId="0" fontId="4" fillId="0" borderId="0" xfId="1" applyFont="1"/>
    <xf numFmtId="0" fontId="3" fillId="0" borderId="0" xfId="1" applyFont="1"/>
    <xf numFmtId="0" fontId="2" fillId="3" borderId="0" xfId="1" applyFill="1"/>
    <xf numFmtId="2" fontId="2" fillId="0" borderId="0" xfId="1" applyNumberFormat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2" xfId="1" applyFont="1" applyBorder="1"/>
    <xf numFmtId="0" fontId="2" fillId="4" borderId="0" xfId="1" applyFill="1"/>
    <xf numFmtId="0" fontId="2" fillId="4" borderId="3" xfId="1" applyFill="1" applyBorder="1"/>
    <xf numFmtId="0" fontId="2" fillId="4" borderId="2" xfId="1" applyFill="1" applyBorder="1"/>
    <xf numFmtId="0" fontId="2" fillId="4" borderId="4" xfId="1" applyFill="1" applyBorder="1"/>
    <xf numFmtId="0" fontId="2" fillId="4" borderId="1" xfId="1" applyFill="1" applyBorder="1"/>
    <xf numFmtId="0" fontId="2" fillId="4" borderId="5" xfId="1" applyFill="1" applyBorder="1"/>
    <xf numFmtId="0" fontId="3" fillId="0" borderId="5" xfId="1" applyFont="1" applyBorder="1" applyAlignment="1">
      <alignment horizontal="right"/>
    </xf>
    <xf numFmtId="0" fontId="2" fillId="0" borderId="0" xfId="27"/>
    <xf numFmtId="164" fontId="2" fillId="0" borderId="0" xfId="148" applyNumberFormat="1" applyFont="1"/>
    <xf numFmtId="165" fontId="3" fillId="0" borderId="0" xfId="5" applyNumberFormat="1" applyFont="1"/>
    <xf numFmtId="164" fontId="2" fillId="0" borderId="0" xfId="27" applyNumberFormat="1"/>
    <xf numFmtId="9" fontId="2" fillId="0" borderId="0" xfId="27" applyNumberFormat="1"/>
    <xf numFmtId="0" fontId="3" fillId="0" borderId="1" xfId="27" applyFont="1" applyBorder="1" applyAlignment="1">
      <alignment horizontal="right"/>
    </xf>
    <xf numFmtId="0" fontId="2" fillId="0" borderId="0" xfId="27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9" fontId="0" fillId="0" borderId="0" xfId="0" applyNumberFormat="1"/>
    <xf numFmtId="0" fontId="0" fillId="3" borderId="0" xfId="0" applyFill="1"/>
    <xf numFmtId="167" fontId="0" fillId="3" borderId="0" xfId="0" applyNumberFormat="1" applyFill="1"/>
    <xf numFmtId="168" fontId="0" fillId="0" borderId="0" xfId="0" applyNumberFormat="1"/>
    <xf numFmtId="166" fontId="0" fillId="0" borderId="0" xfId="150" applyNumberFormat="1" applyFont="1"/>
    <xf numFmtId="164" fontId="0" fillId="0" borderId="0" xfId="0" applyNumberFormat="1"/>
    <xf numFmtId="10" fontId="0" fillId="0" borderId="0" xfId="150" applyNumberFormat="1" applyFont="1"/>
    <xf numFmtId="10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3" fillId="6" borderId="0" xfId="0" applyFont="1" applyFill="1"/>
    <xf numFmtId="0" fontId="0" fillId="6" borderId="0" xfId="0" applyFill="1"/>
    <xf numFmtId="9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3" fillId="7" borderId="0" xfId="0" applyNumberFormat="1" applyFont="1" applyFill="1" applyAlignment="1">
      <alignment horizontal="center"/>
    </xf>
    <xf numFmtId="166" fontId="0" fillId="0" borderId="2" xfId="0" applyNumberFormat="1" applyBorder="1" applyAlignment="1">
      <alignment horizontal="center"/>
    </xf>
    <xf numFmtId="166" fontId="3" fillId="8" borderId="0" xfId="0" applyNumberFormat="1" applyFont="1" applyFill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0" fillId="0" borderId="0" xfId="0" quotePrefix="1"/>
    <xf numFmtId="10" fontId="3" fillId="0" borderId="0" xfId="0" applyNumberFormat="1" applyFont="1" applyAlignment="1">
      <alignment horizontal="center"/>
    </xf>
    <xf numFmtId="166" fontId="3" fillId="7" borderId="10" xfId="0" applyNumberFormat="1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9" fontId="0" fillId="3" borderId="0" xfId="0" applyNumberFormat="1" applyFill="1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168" fontId="0" fillId="0" borderId="1" xfId="0" applyNumberFormat="1" applyBorder="1"/>
    <xf numFmtId="0" fontId="3" fillId="0" borderId="1" xfId="0" applyFont="1" applyBorder="1"/>
    <xf numFmtId="2" fontId="0" fillId="0" borderId="0" xfId="0" applyNumberFormat="1"/>
    <xf numFmtId="0" fontId="3" fillId="0" borderId="0" xfId="0" applyFont="1" applyAlignment="1">
      <alignment horizontal="right"/>
    </xf>
    <xf numFmtId="170" fontId="0" fillId="0" borderId="8" xfId="149" applyNumberFormat="1" applyFont="1" applyBorder="1"/>
    <xf numFmtId="170" fontId="0" fillId="0" borderId="3" xfId="149" applyNumberFormat="1" applyFont="1" applyBorder="1"/>
    <xf numFmtId="43" fontId="0" fillId="0" borderId="0" xfId="0" applyNumberFormat="1"/>
    <xf numFmtId="170" fontId="0" fillId="0" borderId="4" xfId="149" applyNumberFormat="1" applyFont="1" applyBorder="1"/>
    <xf numFmtId="170" fontId="0" fillId="0" borderId="5" xfId="149" applyNumberFormat="1" applyFont="1" applyBorder="1"/>
    <xf numFmtId="0" fontId="3" fillId="0" borderId="1" xfId="0" applyFont="1" applyBorder="1" applyAlignment="1">
      <alignment horizontal="centerContinuous"/>
    </xf>
    <xf numFmtId="0" fontId="0" fillId="0" borderId="0" xfId="0" applyAlignment="1">
      <alignment horizontal="center"/>
    </xf>
    <xf numFmtId="166" fontId="3" fillId="4" borderId="0" xfId="0" applyNumberFormat="1" applyFont="1" applyFill="1"/>
    <xf numFmtId="10" fontId="3" fillId="9" borderId="8" xfId="0" applyNumberFormat="1" applyFont="1" applyFill="1" applyBorder="1"/>
    <xf numFmtId="10" fontId="0" fillId="0" borderId="3" xfId="0" applyNumberFormat="1" applyBorder="1"/>
    <xf numFmtId="10" fontId="3" fillId="0" borderId="4" xfId="0" applyNumberFormat="1" applyFont="1" applyBorder="1"/>
    <xf numFmtId="10" fontId="0" fillId="0" borderId="5" xfId="0" applyNumberFormat="1" applyBorder="1"/>
    <xf numFmtId="10" fontId="3" fillId="0" borderId="0" xfId="0" applyNumberFormat="1" applyFont="1"/>
    <xf numFmtId="0" fontId="0" fillId="0" borderId="11" xfId="0" applyBorder="1"/>
    <xf numFmtId="166" fontId="3" fillId="10" borderId="12" xfId="150" applyNumberFormat="1" applyFont="1" applyFill="1" applyBorder="1"/>
    <xf numFmtId="167" fontId="3" fillId="3" borderId="0" xfId="0" applyNumberFormat="1" applyFont="1" applyFill="1"/>
    <xf numFmtId="171" fontId="0" fillId="0" borderId="0" xfId="0" applyNumberFormat="1"/>
    <xf numFmtId="167" fontId="0" fillId="0" borderId="1" xfId="0" applyNumberFormat="1" applyBorder="1"/>
    <xf numFmtId="167" fontId="0" fillId="3" borderId="1" xfId="0" applyNumberFormat="1" applyFill="1" applyBorder="1"/>
    <xf numFmtId="171" fontId="0" fillId="0" borderId="1" xfId="0" applyNumberFormat="1" applyBorder="1"/>
    <xf numFmtId="0" fontId="3" fillId="6" borderId="0" xfId="0" applyFont="1" applyFill="1" applyAlignment="1">
      <alignment horizontal="centerContinuous"/>
    </xf>
    <xf numFmtId="0" fontId="3" fillId="11" borderId="0" xfId="0" applyFont="1" applyFill="1" applyAlignment="1">
      <alignment horizontal="right" vertical="center"/>
    </xf>
    <xf numFmtId="164" fontId="0" fillId="0" borderId="8" xfId="150" applyNumberFormat="1" applyFont="1" applyBorder="1"/>
    <xf numFmtId="164" fontId="0" fillId="0" borderId="3" xfId="150" applyNumberFormat="1" applyFont="1" applyBorder="1"/>
    <xf numFmtId="9" fontId="3" fillId="0" borderId="0" xfId="150" applyFont="1"/>
    <xf numFmtId="164" fontId="0" fillId="0" borderId="4" xfId="150" applyNumberFormat="1" applyFont="1" applyBorder="1"/>
    <xf numFmtId="164" fontId="0" fillId="0" borderId="5" xfId="150" applyNumberFormat="1" applyFont="1" applyBorder="1"/>
    <xf numFmtId="166" fontId="3" fillId="0" borderId="0" xfId="150" applyNumberFormat="1" applyFont="1"/>
    <xf numFmtId="172" fontId="0" fillId="0" borderId="0" xfId="0" applyNumberFormat="1"/>
    <xf numFmtId="9" fontId="0" fillId="0" borderId="0" xfId="150" applyFont="1"/>
    <xf numFmtId="169" fontId="0" fillId="0" borderId="0" xfId="150" applyNumberFormat="1" applyFont="1"/>
    <xf numFmtId="0" fontId="3" fillId="11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0" fontId="0" fillId="0" borderId="8" xfId="0" applyNumberFormat="1" applyBorder="1"/>
    <xf numFmtId="10" fontId="0" fillId="0" borderId="9" xfId="0" applyNumberFormat="1" applyBorder="1"/>
    <xf numFmtId="10" fontId="0" fillId="0" borderId="4" xfId="0" applyNumberFormat="1" applyBorder="1"/>
    <xf numFmtId="10" fontId="0" fillId="0" borderId="1" xfId="0" applyNumberFormat="1" applyBorder="1"/>
    <xf numFmtId="0" fontId="3" fillId="0" borderId="1" xfId="0" applyFont="1" applyBorder="1" applyAlignment="1">
      <alignment horizontal="right"/>
    </xf>
    <xf numFmtId="166" fontId="0" fillId="0" borderId="1" xfId="150" applyNumberFormat="1" applyFont="1" applyBorder="1"/>
    <xf numFmtId="173" fontId="3" fillId="0" borderId="0" xfId="0" applyNumberFormat="1" applyFont="1"/>
    <xf numFmtId="171" fontId="3" fillId="0" borderId="0" xfId="0" applyNumberFormat="1" applyFont="1"/>
    <xf numFmtId="171" fontId="3" fillId="9" borderId="0" xfId="0" applyNumberFormat="1" applyFont="1" applyFill="1"/>
    <xf numFmtId="10" fontId="3" fillId="0" borderId="0" xfId="150" applyNumberFormat="1" applyFont="1"/>
    <xf numFmtId="10" fontId="3" fillId="0" borderId="1" xfId="150" applyNumberFormat="1" applyFont="1" applyBorder="1"/>
    <xf numFmtId="174" fontId="3" fillId="0" borderId="0" xfId="149" applyNumberFormat="1" applyFont="1"/>
    <xf numFmtId="174" fontId="3" fillId="0" borderId="1" xfId="149" applyNumberFormat="1" applyFont="1" applyBorder="1"/>
    <xf numFmtId="167" fontId="3" fillId="9" borderId="0" xfId="0" applyNumberFormat="1" applyFont="1" applyFill="1"/>
    <xf numFmtId="174" fontId="3" fillId="7" borderId="0" xfId="149" applyNumberFormat="1" applyFont="1" applyFill="1"/>
    <xf numFmtId="0" fontId="3" fillId="12" borderId="0" xfId="0" applyFont="1" applyFill="1"/>
    <xf numFmtId="0" fontId="0" fillId="13" borderId="0" xfId="0" applyFill="1"/>
    <xf numFmtId="167" fontId="0" fillId="0" borderId="0" xfId="0" applyNumberFormat="1"/>
    <xf numFmtId="167" fontId="3" fillId="12" borderId="0" xfId="0" applyNumberFormat="1" applyFont="1" applyFill="1"/>
    <xf numFmtId="166" fontId="3" fillId="12" borderId="0" xfId="150" applyNumberFormat="1" applyFont="1" applyFill="1"/>
    <xf numFmtId="166" fontId="3" fillId="11" borderId="0" xfId="0" applyNumberFormat="1" applyFont="1" applyFill="1"/>
    <xf numFmtId="0" fontId="0" fillId="11" borderId="0" xfId="0" applyFill="1"/>
    <xf numFmtId="0" fontId="9" fillId="11" borderId="0" xfId="0" applyFont="1" applyFill="1"/>
    <xf numFmtId="166" fontId="3" fillId="10" borderId="0" xfId="0" applyNumberFormat="1" applyFont="1" applyFill="1"/>
    <xf numFmtId="0" fontId="3" fillId="10" borderId="0" xfId="0" applyFont="1" applyFill="1"/>
    <xf numFmtId="166" fontId="3" fillId="10" borderId="0" xfId="0" applyNumberFormat="1" applyFont="1" applyFill="1" applyAlignment="1">
      <alignment horizontal="center"/>
    </xf>
    <xf numFmtId="0" fontId="3" fillId="14" borderId="2" xfId="0" applyFont="1" applyFill="1" applyBorder="1"/>
    <xf numFmtId="0" fontId="3" fillId="10" borderId="1" xfId="0" applyFont="1" applyFill="1" applyBorder="1" applyAlignment="1">
      <alignment horizontal="center"/>
    </xf>
    <xf numFmtId="0" fontId="3" fillId="8" borderId="1" xfId="0" applyFont="1" applyFill="1" applyBorder="1"/>
    <xf numFmtId="0" fontId="3" fillId="10" borderId="0" xfId="0" applyFont="1" applyFill="1" applyAlignment="1">
      <alignment horizontal="center"/>
    </xf>
    <xf numFmtId="0" fontId="3" fillId="8" borderId="14" xfId="0" applyFont="1" applyFill="1" applyBorder="1" applyAlignment="1">
      <alignment horizontal="centerContinuous"/>
    </xf>
    <xf numFmtId="170" fontId="0" fillId="0" borderId="0" xfId="149" applyNumberFormat="1" applyFont="1"/>
    <xf numFmtId="173" fontId="3" fillId="8" borderId="2" xfId="0" applyNumberFormat="1" applyFont="1" applyFill="1" applyBorder="1"/>
    <xf numFmtId="0" fontId="3" fillId="8" borderId="2" xfId="0" applyFont="1" applyFill="1" applyBorder="1"/>
    <xf numFmtId="43" fontId="3" fillId="8" borderId="1" xfId="149" applyFont="1" applyFill="1" applyBorder="1"/>
    <xf numFmtId="0" fontId="9" fillId="8" borderId="0" xfId="0" applyFont="1" applyFill="1" applyAlignment="1">
      <alignment horizontal="centerContinuous"/>
    </xf>
    <xf numFmtId="170" fontId="0" fillId="0" borderId="0" xfId="0" applyNumberFormat="1"/>
    <xf numFmtId="164" fontId="0" fillId="0" borderId="0" xfId="150" applyNumberFormat="1" applyFont="1"/>
    <xf numFmtId="10" fontId="0" fillId="3" borderId="0" xfId="0" applyNumberFormat="1" applyFill="1"/>
    <xf numFmtId="166" fontId="0" fillId="3" borderId="0" xfId="0" applyNumberFormat="1" applyFill="1"/>
    <xf numFmtId="0" fontId="3" fillId="8" borderId="1" xfId="0" applyFont="1" applyFill="1" applyBorder="1" applyAlignment="1">
      <alignment horizontal="center"/>
    </xf>
    <xf numFmtId="166" fontId="3" fillId="0" borderId="0" xfId="150" applyNumberFormat="1" applyFont="1" applyAlignment="1">
      <alignment horizontal="center"/>
    </xf>
    <xf numFmtId="0" fontId="3" fillId="2" borderId="14" xfId="0" applyFont="1" applyFill="1" applyBorder="1" applyAlignment="1">
      <alignment horizontal="centerContinuous"/>
    </xf>
    <xf numFmtId="166" fontId="3" fillId="0" borderId="4" xfId="150" applyNumberFormat="1" applyFont="1" applyBorder="1" applyAlignment="1">
      <alignment horizontal="center"/>
    </xf>
    <xf numFmtId="166" fontId="3" fillId="0" borderId="3" xfId="150" applyNumberFormat="1" applyFont="1" applyBorder="1" applyAlignment="1">
      <alignment horizontal="center"/>
    </xf>
    <xf numFmtId="166" fontId="3" fillId="0" borderId="2" xfId="150" applyNumberFormat="1" applyFont="1" applyBorder="1" applyAlignment="1">
      <alignment horizontal="center"/>
    </xf>
    <xf numFmtId="166" fontId="3" fillId="0" borderId="5" xfId="15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8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66" fontId="3" fillId="7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/>
    <xf numFmtId="0" fontId="3" fillId="2" borderId="0" xfId="0" applyFont="1" applyFill="1"/>
    <xf numFmtId="0" fontId="10" fillId="0" borderId="0" xfId="151"/>
    <xf numFmtId="0" fontId="11" fillId="0" borderId="0" xfId="151" applyFont="1"/>
    <xf numFmtId="0" fontId="12" fillId="0" borderId="0" xfId="151" applyFont="1" applyAlignment="1">
      <alignment horizontal="center"/>
    </xf>
    <xf numFmtId="0" fontId="12" fillId="0" borderId="0" xfId="151" applyFont="1"/>
    <xf numFmtId="9" fontId="12" fillId="0" borderId="0" xfId="151" applyNumberFormat="1" applyFont="1"/>
    <xf numFmtId="0" fontId="3" fillId="16" borderId="0" xfId="0" applyFont="1" applyFill="1" applyAlignment="1">
      <alignment horizontal="centerContinuous"/>
    </xf>
    <xf numFmtId="166" fontId="3" fillId="8" borderId="1" xfId="0" applyNumberFormat="1" applyFont="1" applyFill="1" applyBorder="1" applyAlignment="1">
      <alignment horizontal="center"/>
    </xf>
    <xf numFmtId="166" fontId="3" fillId="0" borderId="3" xfId="150" applyNumberFormat="1" applyFont="1" applyFill="1" applyBorder="1" applyAlignment="1">
      <alignment horizontal="center"/>
    </xf>
    <xf numFmtId="166" fontId="3" fillId="0" borderId="2" xfId="150" applyNumberFormat="1" applyFont="1" applyFill="1" applyBorder="1" applyAlignment="1">
      <alignment horizontal="center"/>
    </xf>
    <xf numFmtId="166" fontId="3" fillId="0" borderId="4" xfId="150" applyNumberFormat="1" applyFont="1" applyFill="1" applyBorder="1" applyAlignment="1">
      <alignment horizontal="center"/>
    </xf>
    <xf numFmtId="166" fontId="3" fillId="0" borderId="5" xfId="15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10" xfId="150" applyNumberFormat="1" applyFont="1" applyFill="1" applyBorder="1" applyAlignment="1">
      <alignment horizontal="center"/>
    </xf>
    <xf numFmtId="0" fontId="1" fillId="0" borderId="0" xfId="0" applyFont="1"/>
    <xf numFmtId="166" fontId="3" fillId="0" borderId="8" xfId="150" applyNumberFormat="1" applyFont="1" applyFill="1" applyBorder="1" applyAlignment="1">
      <alignment horizontal="center"/>
    </xf>
    <xf numFmtId="0" fontId="3" fillId="15" borderId="0" xfId="0" applyFont="1" applyFill="1"/>
    <xf numFmtId="0" fontId="0" fillId="15" borderId="0" xfId="0" applyFill="1"/>
    <xf numFmtId="0" fontId="3" fillId="17" borderId="0" xfId="0" applyFont="1" applyFill="1"/>
    <xf numFmtId="0" fontId="0" fillId="17" borderId="0" xfId="0" applyFill="1"/>
    <xf numFmtId="10" fontId="0" fillId="17" borderId="0" xfId="150" applyNumberFormat="1" applyFont="1" applyFill="1"/>
    <xf numFmtId="166" fontId="3" fillId="17" borderId="8" xfId="150" applyNumberFormat="1" applyFont="1" applyFill="1" applyBorder="1" applyAlignment="1">
      <alignment horizontal="center"/>
    </xf>
    <xf numFmtId="166" fontId="3" fillId="18" borderId="2" xfId="150" applyNumberFormat="1" applyFont="1" applyFill="1" applyBorder="1" applyAlignment="1">
      <alignment horizontal="center"/>
    </xf>
    <xf numFmtId="0" fontId="3" fillId="18" borderId="0" xfId="0" applyFont="1" applyFill="1"/>
    <xf numFmtId="166" fontId="3" fillId="18" borderId="0" xfId="0" applyNumberFormat="1" applyFont="1" applyFill="1" applyAlignment="1">
      <alignment horizontal="center"/>
    </xf>
    <xf numFmtId="166" fontId="3" fillId="17" borderId="0" xfId="0" applyNumberFormat="1" applyFont="1" applyFill="1" applyAlignment="1">
      <alignment horizontal="center"/>
    </xf>
    <xf numFmtId="0" fontId="15" fillId="2" borderId="0" xfId="0" applyFont="1" applyFill="1"/>
    <xf numFmtId="10" fontId="3" fillId="11" borderId="0" xfId="0" applyNumberFormat="1" applyFont="1" applyFill="1"/>
    <xf numFmtId="10" fontId="3" fillId="11" borderId="0" xfId="0" applyNumberFormat="1" applyFont="1" applyFill="1" applyAlignment="1">
      <alignment horizontal="right"/>
    </xf>
    <xf numFmtId="10" fontId="0" fillId="19" borderId="0" xfId="0" applyNumberFormat="1" applyFill="1"/>
    <xf numFmtId="0" fontId="3" fillId="0" borderId="0" xfId="0" applyFont="1" applyAlignment="1">
      <alignment horizontal="centerContinuous"/>
    </xf>
    <xf numFmtId="0" fontId="3" fillId="8" borderId="16" xfId="0" applyFont="1" applyFill="1" applyBorder="1" applyAlignment="1">
      <alignment horizontal="centerContinuous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3" fillId="7" borderId="17" xfId="0" applyFont="1" applyFill="1" applyBorder="1" applyAlignment="1">
      <alignment horizontal="right" vertical="center"/>
    </xf>
    <xf numFmtId="166" fontId="3" fillId="0" borderId="8" xfId="150" applyNumberFormat="1" applyFont="1" applyBorder="1" applyAlignment="1">
      <alignment horizontal="center"/>
    </xf>
    <xf numFmtId="166" fontId="3" fillId="0" borderId="9" xfId="150" applyNumberFormat="1" applyFont="1" applyBorder="1" applyAlignment="1">
      <alignment horizontal="center"/>
    </xf>
    <xf numFmtId="166" fontId="3" fillId="0" borderId="10" xfId="150" applyNumberFormat="1" applyFont="1" applyBorder="1" applyAlignment="1">
      <alignment horizontal="center"/>
    </xf>
    <xf numFmtId="166" fontId="3" fillId="0" borderId="0" xfId="150" applyNumberFormat="1" applyFont="1" applyBorder="1" applyAlignment="1">
      <alignment horizontal="center"/>
    </xf>
    <xf numFmtId="166" fontId="3" fillId="0" borderId="1" xfId="150" applyNumberFormat="1" applyFont="1" applyBorder="1" applyAlignment="1">
      <alignment horizontal="center"/>
    </xf>
    <xf numFmtId="166" fontId="3" fillId="7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166" fontId="3" fillId="8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3" fillId="8" borderId="18" xfId="0" applyFont="1" applyFill="1" applyBorder="1" applyAlignment="1">
      <alignment horizontal="center"/>
    </xf>
    <xf numFmtId="166" fontId="3" fillId="22" borderId="10" xfId="150" applyNumberFormat="1" applyFont="1" applyFill="1" applyBorder="1" applyAlignment="1">
      <alignment horizontal="center"/>
    </xf>
    <xf numFmtId="166" fontId="3" fillId="0" borderId="0" xfId="150" applyNumberFormat="1" applyFont="1" applyFill="1" applyBorder="1" applyAlignment="1">
      <alignment horizontal="center"/>
    </xf>
    <xf numFmtId="166" fontId="3" fillId="22" borderId="2" xfId="150" applyNumberFormat="1" applyFont="1" applyFill="1" applyBorder="1" applyAlignment="1">
      <alignment horizontal="center"/>
    </xf>
    <xf numFmtId="166" fontId="3" fillId="0" borderId="1" xfId="150" applyNumberFormat="1" applyFont="1" applyFill="1" applyBorder="1" applyAlignment="1">
      <alignment horizontal="center"/>
    </xf>
    <xf numFmtId="0" fontId="3" fillId="22" borderId="0" xfId="0" applyFont="1" applyFill="1"/>
    <xf numFmtId="0" fontId="0" fillId="22" borderId="0" xfId="0" applyFill="1"/>
    <xf numFmtId="10" fontId="0" fillId="22" borderId="0" xfId="150" applyNumberFormat="1" applyFont="1" applyFill="1"/>
    <xf numFmtId="166" fontId="3" fillId="0" borderId="9" xfId="150" applyNumberFormat="1" applyFont="1" applyFill="1" applyBorder="1" applyAlignment="1">
      <alignment horizontal="center"/>
    </xf>
    <xf numFmtId="9" fontId="3" fillId="0" borderId="0" xfId="150" applyFont="1" applyAlignment="1">
      <alignment horizontal="right"/>
    </xf>
    <xf numFmtId="175" fontId="3" fillId="0" borderId="0" xfId="150" applyNumberFormat="1" applyFont="1" applyBorder="1"/>
    <xf numFmtId="166" fontId="3" fillId="0" borderId="0" xfId="0" applyNumberFormat="1" applyFont="1" applyAlignment="1">
      <alignment horizontal="left"/>
    </xf>
    <xf numFmtId="0" fontId="3" fillId="7" borderId="1" xfId="0" applyFont="1" applyFill="1" applyBorder="1" applyAlignment="1">
      <alignment horizontal="centerContinuous"/>
    </xf>
    <xf numFmtId="166" fontId="3" fillId="0" borderId="0" xfId="0" applyNumberFormat="1" applyFont="1"/>
    <xf numFmtId="0" fontId="20" fillId="15" borderId="1" xfId="0" applyFont="1" applyFill="1" applyBorder="1"/>
    <xf numFmtId="0" fontId="21" fillId="15" borderId="1" xfId="0" applyFont="1" applyFill="1" applyBorder="1" applyAlignment="1">
      <alignment horizontal="right"/>
    </xf>
    <xf numFmtId="0" fontId="3" fillId="11" borderId="0" xfId="0" applyFont="1" applyFill="1"/>
    <xf numFmtId="166" fontId="3" fillId="0" borderId="8" xfId="150" applyNumberFormat="1" applyFont="1" applyBorder="1"/>
    <xf numFmtId="166" fontId="3" fillId="0" borderId="3" xfId="150" applyNumberFormat="1" applyFont="1" applyBorder="1"/>
    <xf numFmtId="166" fontId="3" fillId="0" borderId="4" xfId="150" applyNumberFormat="1" applyFont="1" applyBorder="1"/>
    <xf numFmtId="166" fontId="3" fillId="4" borderId="5" xfId="150" applyNumberFormat="1" applyFont="1" applyFill="1" applyBorder="1"/>
    <xf numFmtId="166" fontId="3" fillId="4" borderId="4" xfId="150" applyNumberFormat="1" applyFont="1" applyFill="1" applyBorder="1"/>
    <xf numFmtId="166" fontId="3" fillId="4" borderId="3" xfId="150" applyNumberFormat="1" applyFont="1" applyFill="1" applyBorder="1"/>
    <xf numFmtId="9" fontId="3" fillId="0" borderId="0" xfId="150" applyFont="1" applyBorder="1"/>
    <xf numFmtId="0" fontId="3" fillId="7" borderId="0" xfId="0" applyFont="1" applyFill="1"/>
    <xf numFmtId="0" fontId="3" fillId="0" borderId="0" xfId="0" quotePrefix="1" applyFont="1" applyAlignment="1">
      <alignment horizontal="right"/>
    </xf>
    <xf numFmtId="166" fontId="3" fillId="0" borderId="0" xfId="0" applyNumberFormat="1" applyFont="1" applyAlignment="1">
      <alignment horizontal="right"/>
    </xf>
    <xf numFmtId="176" fontId="0" fillId="0" borderId="0" xfId="0" applyNumberFormat="1"/>
    <xf numFmtId="177" fontId="0" fillId="0" borderId="0" xfId="0" applyNumberFormat="1"/>
    <xf numFmtId="0" fontId="3" fillId="0" borderId="0" xfId="0" quotePrefix="1" applyFont="1" applyAlignment="1">
      <alignment horizontal="center"/>
    </xf>
    <xf numFmtId="178" fontId="3" fillId="0" borderId="8" xfId="149" applyNumberFormat="1" applyFont="1" applyFill="1" applyBorder="1"/>
    <xf numFmtId="178" fontId="3" fillId="11" borderId="3" xfId="149" applyNumberFormat="1" applyFont="1" applyFill="1" applyBorder="1"/>
    <xf numFmtId="178" fontId="3" fillId="0" borderId="0" xfId="149" applyNumberFormat="1" applyFont="1" applyFill="1"/>
    <xf numFmtId="178" fontId="3" fillId="0" borderId="4" xfId="149" applyNumberFormat="1" applyFont="1" applyFill="1" applyBorder="1"/>
    <xf numFmtId="178" fontId="3" fillId="0" borderId="5" xfId="149" applyNumberFormat="1" applyFont="1" applyFill="1" applyBorder="1"/>
    <xf numFmtId="178" fontId="3" fillId="0" borderId="3" xfId="149" applyNumberFormat="1" applyFont="1" applyFill="1" applyBorder="1"/>
    <xf numFmtId="166" fontId="3" fillId="0" borderId="0" xfId="150" applyNumberFormat="1" applyFont="1" applyFill="1"/>
    <xf numFmtId="166" fontId="3" fillId="0" borderId="0" xfId="150" applyNumberFormat="1" applyFont="1" applyFill="1" applyBorder="1"/>
    <xf numFmtId="164" fontId="2" fillId="0" borderId="8" xfId="150" applyNumberFormat="1" applyFont="1" applyFill="1" applyBorder="1"/>
    <xf numFmtId="164" fontId="2" fillId="0" borderId="3" xfId="150" applyNumberFormat="1" applyFont="1" applyFill="1" applyBorder="1"/>
    <xf numFmtId="164" fontId="2" fillId="0" borderId="0" xfId="150" applyNumberFormat="1" applyFont="1" applyFill="1"/>
    <xf numFmtId="164" fontId="2" fillId="0" borderId="4" xfId="150" applyNumberFormat="1" applyFont="1" applyFill="1" applyBorder="1"/>
    <xf numFmtId="164" fontId="2" fillId="0" borderId="5" xfId="150" applyNumberFormat="1" applyFont="1" applyFill="1" applyBorder="1"/>
    <xf numFmtId="164" fontId="3" fillId="0" borderId="0" xfId="0" applyNumberFormat="1" applyFont="1"/>
    <xf numFmtId="0" fontId="7" fillId="0" borderId="0" xfId="155" applyFont="1"/>
    <xf numFmtId="0" fontId="6" fillId="2" borderId="0" xfId="155" applyFont="1" applyFill="1"/>
    <xf numFmtId="0" fontId="7" fillId="2" borderId="0" xfId="155" applyFont="1" applyFill="1"/>
    <xf numFmtId="0" fontId="8" fillId="2" borderId="0" xfId="155" applyFill="1"/>
    <xf numFmtId="0" fontId="8" fillId="0" borderId="0" xfId="155"/>
    <xf numFmtId="0" fontId="22" fillId="0" borderId="0" xfId="155" applyFont="1"/>
    <xf numFmtId="0" fontId="22" fillId="0" borderId="0" xfId="155" applyFont="1" applyAlignment="1">
      <alignment horizontal="center"/>
    </xf>
    <xf numFmtId="0" fontId="23" fillId="6" borderId="1" xfId="155" applyFont="1" applyFill="1" applyBorder="1" applyAlignment="1">
      <alignment horizontal="center"/>
    </xf>
    <xf numFmtId="0" fontId="23" fillId="0" borderId="0" xfId="155" applyFont="1" applyAlignment="1">
      <alignment horizontal="center"/>
    </xf>
    <xf numFmtId="0" fontId="23" fillId="0" borderId="0" xfId="155" applyFont="1"/>
    <xf numFmtId="0" fontId="23" fillId="6" borderId="0" xfId="155" applyFont="1" applyFill="1" applyAlignment="1">
      <alignment horizontal="center"/>
    </xf>
    <xf numFmtId="179" fontId="24" fillId="23" borderId="0" xfId="155" applyNumberFormat="1" applyFont="1" applyFill="1" applyAlignment="1">
      <alignment horizontal="left"/>
    </xf>
    <xf numFmtId="0" fontId="22" fillId="23" borderId="0" xfId="155" applyFont="1" applyFill="1"/>
    <xf numFmtId="0" fontId="23" fillId="7" borderId="0" xfId="155" applyFont="1" applyFill="1" applyAlignment="1">
      <alignment horizontal="centerContinuous"/>
    </xf>
    <xf numFmtId="166" fontId="22" fillId="0" borderId="0" xfId="155" applyNumberFormat="1" applyFont="1" applyAlignment="1">
      <alignment horizontal="center"/>
    </xf>
    <xf numFmtId="0" fontId="23" fillId="0" borderId="0" xfId="155" applyFont="1" applyAlignment="1">
      <alignment horizontal="left"/>
    </xf>
    <xf numFmtId="0" fontId="23" fillId="0" borderId="1" xfId="155" applyFont="1" applyBorder="1" applyAlignment="1">
      <alignment horizontal="center"/>
    </xf>
    <xf numFmtId="0" fontId="25" fillId="7" borderId="1" xfId="155" applyFont="1" applyFill="1" applyBorder="1" applyAlignment="1">
      <alignment horizontal="center"/>
    </xf>
    <xf numFmtId="2" fontId="22" fillId="0" borderId="0" xfId="156" applyNumberFormat="1" applyFont="1" applyAlignment="1">
      <alignment horizontal="center"/>
    </xf>
    <xf numFmtId="2" fontId="23" fillId="0" borderId="0" xfId="155" applyNumberFormat="1" applyFont="1" applyAlignment="1">
      <alignment horizontal="left"/>
    </xf>
    <xf numFmtId="166" fontId="23" fillId="0" borderId="9" xfId="155" applyNumberFormat="1" applyFont="1" applyBorder="1" applyAlignment="1">
      <alignment horizontal="center"/>
    </xf>
    <xf numFmtId="2" fontId="22" fillId="0" borderId="1" xfId="156" applyNumberFormat="1" applyFont="1" applyBorder="1" applyAlignment="1">
      <alignment horizontal="center"/>
    </xf>
    <xf numFmtId="9" fontId="22" fillId="0" borderId="0" xfId="155" applyNumberFormat="1" applyFont="1" applyAlignment="1">
      <alignment horizontal="center"/>
    </xf>
    <xf numFmtId="0" fontId="24" fillId="0" borderId="0" xfId="155" applyFont="1" applyAlignment="1">
      <alignment horizontal="right"/>
    </xf>
    <xf numFmtId="166" fontId="23" fillId="0" borderId="7" xfId="155" applyNumberFormat="1" applyFont="1" applyBorder="1" applyAlignment="1">
      <alignment horizontal="center"/>
    </xf>
    <xf numFmtId="2" fontId="23" fillId="0" borderId="7" xfId="155" applyNumberFormat="1" applyFont="1" applyBorder="1" applyAlignment="1">
      <alignment horizontal="center"/>
    </xf>
    <xf numFmtId="167" fontId="23" fillId="7" borderId="7" xfId="155" applyNumberFormat="1" applyFont="1" applyFill="1" applyBorder="1" applyAlignment="1">
      <alignment horizontal="center"/>
    </xf>
    <xf numFmtId="167" fontId="23" fillId="0" borderId="0" xfId="155" applyNumberFormat="1" applyFont="1" applyAlignment="1">
      <alignment horizontal="center"/>
    </xf>
    <xf numFmtId="0" fontId="25" fillId="0" borderId="0" xfId="155" applyFont="1" applyAlignment="1">
      <alignment horizontal="center"/>
    </xf>
    <xf numFmtId="167" fontId="23" fillId="6" borderId="0" xfId="155" applyNumberFormat="1" applyFont="1" applyFill="1" applyAlignment="1">
      <alignment horizontal="center"/>
    </xf>
    <xf numFmtId="2" fontId="22" fillId="0" borderId="0" xfId="156" applyNumberFormat="1" applyFont="1" applyFill="1" applyBorder="1" applyAlignment="1">
      <alignment horizontal="center"/>
    </xf>
    <xf numFmtId="167" fontId="22" fillId="0" borderId="0" xfId="156" applyNumberFormat="1" applyFont="1" applyFill="1" applyBorder="1" applyAlignment="1">
      <alignment horizontal="center"/>
    </xf>
    <xf numFmtId="0" fontId="7" fillId="6" borderId="0" xfId="155" applyFont="1" applyFill="1" applyAlignment="1">
      <alignment horizontal="center"/>
    </xf>
    <xf numFmtId="173" fontId="22" fillId="0" borderId="0" xfId="156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3" fontId="13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43" fontId="1" fillId="0" borderId="0" xfId="149" applyFont="1" applyFill="1" applyBorder="1" applyAlignment="1">
      <alignment horizontal="center"/>
    </xf>
    <xf numFmtId="173" fontId="3" fillId="23" borderId="0" xfId="0" applyNumberFormat="1" applyFont="1" applyFill="1" applyAlignment="1">
      <alignment horizontal="right"/>
    </xf>
    <xf numFmtId="167" fontId="3" fillId="0" borderId="0" xfId="0" applyNumberFormat="1" applyFont="1"/>
    <xf numFmtId="0" fontId="3" fillId="24" borderId="0" xfId="0" applyFont="1" applyFill="1" applyAlignment="1">
      <alignment horizontal="right"/>
    </xf>
    <xf numFmtId="167" fontId="3" fillId="24" borderId="0" xfId="0" applyNumberFormat="1" applyFont="1" applyFill="1"/>
    <xf numFmtId="0" fontId="3" fillId="24" borderId="0" xfId="0" quotePrefix="1" applyFont="1" applyFill="1"/>
    <xf numFmtId="173" fontId="0" fillId="0" borderId="0" xfId="0" applyNumberFormat="1"/>
    <xf numFmtId="43" fontId="0" fillId="0" borderId="0" xfId="149" applyFont="1"/>
    <xf numFmtId="173" fontId="3" fillId="23" borderId="0" xfId="0" applyNumberFormat="1" applyFont="1" applyFill="1" applyAlignment="1">
      <alignment horizontal="center"/>
    </xf>
    <xf numFmtId="2" fontId="3" fillId="0" borderId="0" xfId="0" applyNumberFormat="1" applyFont="1"/>
    <xf numFmtId="168" fontId="3" fillId="0" borderId="0" xfId="0" applyNumberFormat="1" applyFont="1"/>
    <xf numFmtId="2" fontId="0" fillId="0" borderId="0" xfId="0" applyNumberFormat="1" applyAlignment="1">
      <alignment horizontal="right"/>
    </xf>
    <xf numFmtId="173" fontId="3" fillId="8" borderId="0" xfId="0" applyNumberFormat="1" applyFont="1" applyFill="1"/>
    <xf numFmtId="173" fontId="3" fillId="4" borderId="0" xfId="0" applyNumberFormat="1" applyFont="1" applyFill="1"/>
    <xf numFmtId="1" fontId="0" fillId="0" borderId="0" xfId="0" applyNumberFormat="1" applyAlignment="1">
      <alignment horizontal="right"/>
    </xf>
    <xf numFmtId="174" fontId="0" fillId="0" borderId="0" xfId="149" applyNumberFormat="1" applyFont="1"/>
    <xf numFmtId="167" fontId="3" fillId="0" borderId="0" xfId="0" quotePrefix="1" applyNumberFormat="1" applyFont="1"/>
    <xf numFmtId="168" fontId="0" fillId="0" borderId="0" xfId="0" quotePrefix="1" applyNumberFormat="1"/>
    <xf numFmtId="0" fontId="28" fillId="0" borderId="0" xfId="0" applyFont="1"/>
    <xf numFmtId="173" fontId="0" fillId="0" borderId="0" xfId="0" applyNumberFormat="1" applyAlignment="1">
      <alignment horizontal="center"/>
    </xf>
    <xf numFmtId="173" fontId="3" fillId="0" borderId="0" xfId="0" applyNumberFormat="1" applyFont="1" applyAlignment="1">
      <alignment horizontal="center"/>
    </xf>
    <xf numFmtId="0" fontId="29" fillId="21" borderId="15" xfId="154" applyFont="1" applyAlignment="1">
      <alignment horizontal="center"/>
    </xf>
    <xf numFmtId="49" fontId="0" fillId="0" borderId="0" xfId="0" applyNumberFormat="1" applyAlignment="1">
      <alignment horizontal="left"/>
    </xf>
    <xf numFmtId="173" fontId="18" fillId="21" borderId="15" xfId="154" applyNumberFormat="1" applyAlignment="1">
      <alignment horizontal="center"/>
    </xf>
    <xf numFmtId="167" fontId="0" fillId="0" borderId="0" xfId="0" applyNumberFormat="1" applyAlignment="1">
      <alignment horizontal="center"/>
    </xf>
    <xf numFmtId="173" fontId="3" fillId="0" borderId="0" xfId="0" applyNumberFormat="1" applyFont="1" applyAlignment="1">
      <alignment horizontal="left"/>
    </xf>
    <xf numFmtId="0" fontId="17" fillId="20" borderId="0" xfId="153" applyAlignment="1">
      <alignment horizontal="center"/>
    </xf>
    <xf numFmtId="173" fontId="1" fillId="8" borderId="0" xfId="0" applyNumberFormat="1" applyFont="1" applyFill="1" applyAlignment="1">
      <alignment horizontal="center"/>
    </xf>
    <xf numFmtId="10" fontId="1" fillId="8" borderId="0" xfId="0" applyNumberFormat="1" applyFont="1" applyFill="1" applyAlignment="1">
      <alignment horizontal="center"/>
    </xf>
    <xf numFmtId="167" fontId="1" fillId="8" borderId="0" xfId="0" applyNumberFormat="1" applyFont="1" applyFill="1" applyAlignment="1">
      <alignment horizontal="center"/>
    </xf>
    <xf numFmtId="173" fontId="0" fillId="8" borderId="0" xfId="0" applyNumberFormat="1" applyFill="1"/>
    <xf numFmtId="43" fontId="0" fillId="8" borderId="0" xfId="149" applyFont="1" applyFill="1"/>
    <xf numFmtId="2" fontId="0" fillId="8" borderId="0" xfId="149" applyNumberFormat="1" applyFont="1" applyFill="1"/>
    <xf numFmtId="43" fontId="3" fillId="8" borderId="0" xfId="149" applyFont="1" applyFill="1"/>
    <xf numFmtId="0" fontId="30" fillId="2" borderId="0" xfId="16" applyFont="1" applyFill="1"/>
    <xf numFmtId="0" fontId="31" fillId="2" borderId="0" xfId="16" applyFont="1" applyFill="1"/>
    <xf numFmtId="0" fontId="31" fillId="0" borderId="0" xfId="16" applyFont="1"/>
    <xf numFmtId="0" fontId="31" fillId="0" borderId="0" xfId="16" applyFont="1" applyAlignment="1">
      <alignment horizontal="right"/>
    </xf>
    <xf numFmtId="0" fontId="30" fillId="23" borderId="0" xfId="16" applyFont="1" applyFill="1"/>
    <xf numFmtId="166" fontId="30" fillId="23" borderId="0" xfId="16" applyNumberFormat="1" applyFont="1" applyFill="1"/>
    <xf numFmtId="2" fontId="31" fillId="0" borderId="0" xfId="16" applyNumberFormat="1" applyFont="1"/>
    <xf numFmtId="0" fontId="3" fillId="8" borderId="0" xfId="27" applyFont="1" applyFill="1"/>
    <xf numFmtId="0" fontId="3" fillId="0" borderId="0" xfId="27" applyFont="1" applyAlignment="1">
      <alignment horizontal="right"/>
    </xf>
    <xf numFmtId="167" fontId="3" fillId="4" borderId="0" xfId="27" applyNumberFormat="1" applyFont="1" applyFill="1"/>
    <xf numFmtId="43" fontId="0" fillId="0" borderId="0" xfId="5" applyFont="1"/>
    <xf numFmtId="166" fontId="32" fillId="14" borderId="0" xfId="148" applyNumberFormat="1" applyFont="1" applyFill="1"/>
    <xf numFmtId="171" fontId="2" fillId="0" borderId="0" xfId="27" applyNumberFormat="1"/>
    <xf numFmtId="181" fontId="2" fillId="0" borderId="0" xfId="27" applyNumberFormat="1"/>
    <xf numFmtId="166" fontId="32" fillId="14" borderId="9" xfId="27" applyNumberFormat="1" applyFont="1" applyFill="1" applyBorder="1"/>
    <xf numFmtId="43" fontId="30" fillId="23" borderId="0" xfId="157" applyFont="1" applyFill="1"/>
    <xf numFmtId="0" fontId="30" fillId="0" borderId="0" xfId="16" applyFont="1"/>
    <xf numFmtId="173" fontId="31" fillId="0" borderId="0" xfId="16" applyNumberFormat="1" applyFont="1"/>
    <xf numFmtId="165" fontId="30" fillId="23" borderId="0" xfId="157" applyNumberFormat="1" applyFont="1" applyFill="1"/>
    <xf numFmtId="173" fontId="30" fillId="23" borderId="0" xfId="16" applyNumberFormat="1" applyFont="1" applyFill="1"/>
    <xf numFmtId="173" fontId="30" fillId="23" borderId="0" xfId="157" applyNumberFormat="1" applyFont="1" applyFill="1"/>
    <xf numFmtId="0" fontId="32" fillId="0" borderId="0" xfId="158" applyFont="1" applyAlignment="1">
      <alignment horizontal="center"/>
    </xf>
    <xf numFmtId="182" fontId="32" fillId="0" borderId="0" xfId="159" applyFont="1" applyAlignment="1">
      <alignment horizontal="left"/>
    </xf>
    <xf numFmtId="0" fontId="32" fillId="23" borderId="0" xfId="158" applyFont="1" applyFill="1" applyAlignment="1">
      <alignment horizontal="right"/>
    </xf>
    <xf numFmtId="0" fontId="33" fillId="0" borderId="0" xfId="158" applyFont="1" applyAlignment="1">
      <alignment horizontal="center"/>
    </xf>
    <xf numFmtId="173" fontId="32" fillId="23" borderId="0" xfId="158" applyNumberFormat="1" applyFont="1" applyFill="1" applyAlignment="1">
      <alignment horizontal="right"/>
    </xf>
    <xf numFmtId="182" fontId="32" fillId="0" borderId="0" xfId="159" applyFont="1" applyAlignment="1">
      <alignment horizontal="right"/>
    </xf>
    <xf numFmtId="0" fontId="20" fillId="0" borderId="0" xfId="158" applyFont="1"/>
    <xf numFmtId="0" fontId="32" fillId="0" borderId="0" xfId="158" applyFont="1"/>
    <xf numFmtId="0" fontId="21" fillId="0" borderId="1" xfId="158" applyFont="1" applyBorder="1" applyAlignment="1">
      <alignment horizontal="right"/>
    </xf>
    <xf numFmtId="0" fontId="32" fillId="0" borderId="0" xfId="158" applyFont="1" applyAlignment="1">
      <alignment horizontal="right"/>
    </xf>
    <xf numFmtId="0" fontId="32" fillId="0" borderId="1" xfId="158" applyFont="1" applyBorder="1" applyAlignment="1">
      <alignment horizontal="right"/>
    </xf>
    <xf numFmtId="182" fontId="20" fillId="0" borderId="0" xfId="159" applyFont="1"/>
    <xf numFmtId="3" fontId="20" fillId="0" borderId="0" xfId="159" applyNumberFormat="1" applyFont="1"/>
    <xf numFmtId="183" fontId="20" fillId="0" borderId="0" xfId="159" applyNumberFormat="1" applyFont="1"/>
    <xf numFmtId="0" fontId="2" fillId="0" borderId="0" xfId="160"/>
    <xf numFmtId="0" fontId="3" fillId="0" borderId="1" xfId="160" applyFont="1" applyBorder="1" applyAlignment="1">
      <alignment horizontal="right"/>
    </xf>
    <xf numFmtId="9" fontId="2" fillId="0" borderId="0" xfId="160" applyNumberFormat="1"/>
    <xf numFmtId="0" fontId="2" fillId="0" borderId="0" xfId="160" applyAlignment="1">
      <alignment horizontal="right"/>
    </xf>
    <xf numFmtId="165" fontId="3" fillId="0" borderId="0" xfId="161" applyNumberFormat="1" applyFont="1"/>
    <xf numFmtId="164" fontId="2" fillId="0" borderId="0" xfId="162" applyNumberFormat="1" applyFont="1"/>
    <xf numFmtId="0" fontId="0" fillId="0" borderId="0" xfId="0" applyAlignment="1">
      <alignment horizontal="left"/>
    </xf>
    <xf numFmtId="10" fontId="0" fillId="6" borderId="0" xfId="15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166" fontId="0" fillId="7" borderId="0" xfId="150" applyNumberFormat="1" applyFont="1" applyFill="1" applyAlignment="1">
      <alignment horizontal="left"/>
    </xf>
    <xf numFmtId="0" fontId="0" fillId="23" borderId="0" xfId="0" applyFill="1" applyAlignment="1">
      <alignment horizontal="left"/>
    </xf>
    <xf numFmtId="0" fontId="16" fillId="0" borderId="0" xfId="152"/>
    <xf numFmtId="164" fontId="31" fillId="0" borderId="0" xfId="150" applyNumberFormat="1" applyFont="1"/>
    <xf numFmtId="10" fontId="31" fillId="0" borderId="0" xfId="150" applyNumberFormat="1" applyFont="1"/>
    <xf numFmtId="172" fontId="31" fillId="0" borderId="0" xfId="150" applyNumberFormat="1" applyFont="1"/>
    <xf numFmtId="164" fontId="31" fillId="0" borderId="0" xfId="150" applyNumberFormat="1" applyFont="1" applyAlignment="1">
      <alignment horizontal="right"/>
    </xf>
    <xf numFmtId="166" fontId="30" fillId="0" borderId="0" xfId="16" applyNumberFormat="1" applyFont="1"/>
    <xf numFmtId="2" fontId="30" fillId="23" borderId="0" xfId="16" applyNumberFormat="1" applyFont="1" applyFill="1"/>
    <xf numFmtId="2" fontId="30" fillId="3" borderId="0" xfId="16" applyNumberFormat="1" applyFont="1" applyFill="1"/>
    <xf numFmtId="168" fontId="31" fillId="0" borderId="0" xfId="16" applyNumberFormat="1" applyFont="1"/>
    <xf numFmtId="166" fontId="0" fillId="0" borderId="0" xfId="0" applyNumberFormat="1" applyAlignment="1">
      <alignment horizontal="left"/>
    </xf>
    <xf numFmtId="10" fontId="3" fillId="10" borderId="0" xfId="150" applyNumberFormat="1" applyFont="1" applyFill="1"/>
    <xf numFmtId="10" fontId="3" fillId="7" borderId="0" xfId="150" applyNumberFormat="1" applyFont="1" applyFill="1"/>
    <xf numFmtId="10" fontId="3" fillId="8" borderId="0" xfId="0" applyNumberFormat="1" applyFont="1" applyFill="1"/>
    <xf numFmtId="10" fontId="3" fillId="0" borderId="0" xfId="0" quotePrefix="1" applyNumberFormat="1" applyFont="1" applyAlignment="1">
      <alignment horizontal="right"/>
    </xf>
    <xf numFmtId="178" fontId="3" fillId="23" borderId="0" xfId="149" applyNumberFormat="1" applyFont="1" applyFill="1"/>
    <xf numFmtId="10" fontId="3" fillId="25" borderId="0" xfId="0" applyNumberFormat="1" applyFont="1" applyFill="1" applyAlignment="1">
      <alignment horizontal="right"/>
    </xf>
    <xf numFmtId="9" fontId="9" fillId="0" borderId="0" xfId="150" applyFont="1"/>
    <xf numFmtId="10" fontId="3" fillId="23" borderId="2" xfId="150" applyNumberFormat="1" applyFont="1" applyFill="1" applyBorder="1"/>
    <xf numFmtId="10" fontId="3" fillId="23" borderId="0" xfId="150" applyNumberFormat="1" applyFont="1" applyFill="1"/>
    <xf numFmtId="10" fontId="3" fillId="0" borderId="5" xfId="150" applyNumberFormat="1" applyFont="1" applyBorder="1"/>
    <xf numFmtId="10" fontId="3" fillId="0" borderId="4" xfId="150" applyNumberFormat="1" applyFont="1" applyBorder="1"/>
    <xf numFmtId="0" fontId="3" fillId="11" borderId="0" xfId="0" applyFont="1" applyFill="1" applyAlignment="1">
      <alignment horizontal="right"/>
    </xf>
    <xf numFmtId="10" fontId="3" fillId="23" borderId="3" xfId="150" applyNumberFormat="1" applyFont="1" applyFill="1" applyBorder="1"/>
    <xf numFmtId="10" fontId="3" fillId="23" borderId="9" xfId="150" applyNumberFormat="1" applyFont="1" applyFill="1" applyBorder="1"/>
    <xf numFmtId="10" fontId="3" fillId="23" borderId="8" xfId="150" applyNumberFormat="1" applyFont="1" applyFill="1" applyBorder="1"/>
    <xf numFmtId="0" fontId="3" fillId="6" borderId="0" xfId="0" applyFont="1" applyFill="1" applyAlignment="1">
      <alignment horizontal="right"/>
    </xf>
    <xf numFmtId="0" fontId="3" fillId="0" borderId="19" xfId="0" applyFont="1" applyBorder="1"/>
    <xf numFmtId="0" fontId="3" fillId="7" borderId="0" xfId="0" quotePrefix="1" applyFont="1" applyFill="1" applyAlignment="1">
      <alignment horizontal="center"/>
    </xf>
    <xf numFmtId="0" fontId="3" fillId="8" borderId="0" xfId="0" quotePrefix="1" applyFont="1" applyFill="1" applyAlignment="1">
      <alignment horizontal="center"/>
    </xf>
    <xf numFmtId="175" fontId="3" fillId="0" borderId="0" xfId="150" applyNumberFormat="1" applyFont="1"/>
    <xf numFmtId="10" fontId="0" fillId="0" borderId="0" xfId="0" applyNumberFormat="1" applyAlignment="1">
      <alignment horizontal="left"/>
    </xf>
    <xf numFmtId="0" fontId="3" fillId="8" borderId="0" xfId="0" applyFont="1" applyFill="1"/>
    <xf numFmtId="0" fontId="21" fillId="16" borderId="1" xfId="0" applyFont="1" applyFill="1" applyBorder="1" applyAlignment="1">
      <alignment horizontal="right"/>
    </xf>
    <xf numFmtId="0" fontId="20" fillId="16" borderId="1" xfId="0" applyFont="1" applyFill="1" applyBorder="1"/>
    <xf numFmtId="169" fontId="0" fillId="0" borderId="0" xfId="0" applyNumberFormat="1"/>
    <xf numFmtId="169" fontId="3" fillId="11" borderId="0" xfId="0" quotePrefix="1" applyNumberFormat="1" applyFont="1" applyFill="1"/>
    <xf numFmtId="0" fontId="3" fillId="26" borderId="2" xfId="0" applyFont="1" applyFill="1" applyBorder="1" applyAlignment="1">
      <alignment horizontal="center"/>
    </xf>
    <xf numFmtId="169" fontId="3" fillId="6" borderId="0" xfId="0" quotePrefix="1" applyNumberFormat="1" applyFont="1" applyFill="1"/>
    <xf numFmtId="0" fontId="3" fillId="26" borderId="1" xfId="0" applyFont="1" applyFill="1" applyBorder="1" applyAlignment="1">
      <alignment horizontal="center"/>
    </xf>
    <xf numFmtId="166" fontId="3" fillId="6" borderId="0" xfId="0" quotePrefix="1" applyNumberFormat="1" applyFont="1" applyFill="1" applyAlignment="1">
      <alignment horizontal="left"/>
    </xf>
    <xf numFmtId="0" fontId="0" fillId="14" borderId="0" xfId="0" applyFill="1"/>
    <xf numFmtId="166" fontId="3" fillId="14" borderId="0" xfId="0" quotePrefix="1" applyNumberFormat="1" applyFont="1" applyFill="1" applyAlignment="1">
      <alignment horizontal="left"/>
    </xf>
    <xf numFmtId="166" fontId="3" fillId="8" borderId="0" xfId="0" applyNumberFormat="1" applyFont="1" applyFill="1" applyAlignment="1">
      <alignment horizontal="left"/>
    </xf>
    <xf numFmtId="0" fontId="3" fillId="14" borderId="0" xfId="0" applyFont="1" applyFill="1"/>
    <xf numFmtId="167" fontId="3" fillId="14" borderId="0" xfId="0" applyNumberFormat="1" applyFont="1" applyFill="1"/>
    <xf numFmtId="166" fontId="3" fillId="6" borderId="10" xfId="0" applyNumberFormat="1" applyFont="1" applyFill="1" applyBorder="1" applyAlignment="1">
      <alignment horizontal="center"/>
    </xf>
    <xf numFmtId="166" fontId="3" fillId="6" borderId="5" xfId="150" applyNumberFormat="1" applyFont="1" applyFill="1" applyBorder="1" applyAlignment="1">
      <alignment horizontal="center"/>
    </xf>
    <xf numFmtId="173" fontId="3" fillId="0" borderId="2" xfId="0" applyNumberFormat="1" applyFont="1" applyBorder="1" applyAlignment="1">
      <alignment horizontal="center"/>
    </xf>
    <xf numFmtId="166" fontId="3" fillId="14" borderId="10" xfId="0" applyNumberFormat="1" applyFont="1" applyFill="1" applyBorder="1" applyAlignment="1">
      <alignment horizontal="center"/>
    </xf>
    <xf numFmtId="166" fontId="3" fillId="14" borderId="2" xfId="150" applyNumberFormat="1" applyFont="1" applyFill="1" applyBorder="1" applyAlignment="1">
      <alignment horizontal="center"/>
    </xf>
    <xf numFmtId="166" fontId="3" fillId="14" borderId="0" xfId="150" applyNumberFormat="1" applyFont="1" applyFill="1" applyBorder="1" applyAlignment="1">
      <alignment horizontal="center"/>
    </xf>
    <xf numFmtId="166" fontId="3" fillId="14" borderId="10" xfId="150" applyNumberFormat="1" applyFont="1" applyFill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8" borderId="9" xfId="150" applyNumberFormat="1" applyFont="1" applyFill="1" applyBorder="1" applyAlignment="1">
      <alignment horizontal="center"/>
    </xf>
    <xf numFmtId="173" fontId="3" fillId="0" borderId="1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Continuous"/>
    </xf>
    <xf numFmtId="0" fontId="0" fillId="8" borderId="0" xfId="0" applyFill="1" applyAlignment="1">
      <alignment horizontal="right"/>
    </xf>
    <xf numFmtId="10" fontId="2" fillId="8" borderId="0" xfId="15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0" fontId="0" fillId="7" borderId="0" xfId="150" applyNumberFormat="1" applyFont="1" applyFill="1"/>
    <xf numFmtId="173" fontId="3" fillId="15" borderId="2" xfId="0" applyNumberFormat="1" applyFont="1" applyFill="1" applyBorder="1" applyAlignment="1">
      <alignment horizontal="center"/>
    </xf>
    <xf numFmtId="10" fontId="0" fillId="6" borderId="0" xfId="150" applyNumberFormat="1" applyFont="1" applyFill="1"/>
    <xf numFmtId="2" fontId="3" fillId="15" borderId="1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Continuous"/>
    </xf>
    <xf numFmtId="2" fontId="0" fillId="8" borderId="0" xfId="0" applyNumberFormat="1" applyFill="1"/>
    <xf numFmtId="0" fontId="0" fillId="8" borderId="0" xfId="0" applyFill="1"/>
    <xf numFmtId="0" fontId="35" fillId="8" borderId="0" xfId="0" applyFont="1" applyFill="1"/>
    <xf numFmtId="2" fontId="0" fillId="0" borderId="1" xfId="0" applyNumberFormat="1" applyBorder="1"/>
    <xf numFmtId="10" fontId="0" fillId="0" borderId="1" xfId="150" applyNumberFormat="1" applyFont="1" applyBorder="1"/>
    <xf numFmtId="165" fontId="0" fillId="0" borderId="0" xfId="149" applyNumberFormat="1" applyFont="1"/>
    <xf numFmtId="184" fontId="0" fillId="7" borderId="0" xfId="0" applyNumberFormat="1" applyFill="1"/>
    <xf numFmtId="43" fontId="0" fillId="7" borderId="0" xfId="0" applyNumberFormat="1" applyFill="1"/>
    <xf numFmtId="165" fontId="0" fillId="7" borderId="0" xfId="149" applyNumberFormat="1" applyFont="1" applyFill="1"/>
    <xf numFmtId="0" fontId="36" fillId="0" borderId="0" xfId="0" applyFont="1" applyAlignment="1">
      <alignment horizontal="right"/>
    </xf>
    <xf numFmtId="0" fontId="0" fillId="10" borderId="5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184" fontId="0" fillId="0" borderId="0" xfId="0" applyNumberFormat="1"/>
    <xf numFmtId="167" fontId="22" fillId="0" borderId="0" xfId="155" applyNumberFormat="1" applyFont="1" applyAlignment="1">
      <alignment horizontal="center"/>
    </xf>
    <xf numFmtId="0" fontId="24" fillId="0" borderId="0" xfId="155" applyFont="1" applyAlignment="1">
      <alignment horizontal="center"/>
    </xf>
    <xf numFmtId="180" fontId="24" fillId="23" borderId="0" xfId="155" applyNumberFormat="1" applyFont="1" applyFill="1"/>
    <xf numFmtId="10" fontId="2" fillId="0" borderId="0" xfId="1" applyNumberFormat="1"/>
    <xf numFmtId="0" fontId="3" fillId="15" borderId="0" xfId="1" applyFont="1" applyFill="1"/>
    <xf numFmtId="166" fontId="3" fillId="11" borderId="0" xfId="1" applyNumberFormat="1" applyFont="1" applyFill="1"/>
    <xf numFmtId="167" fontId="2" fillId="0" borderId="0" xfId="1" applyNumberFormat="1"/>
    <xf numFmtId="0" fontId="9" fillId="11" borderId="0" xfId="1" applyFont="1" applyFill="1"/>
    <xf numFmtId="167" fontId="3" fillId="15" borderId="0" xfId="1" applyNumberFormat="1" applyFont="1" applyFill="1"/>
    <xf numFmtId="174" fontId="2" fillId="0" borderId="0" xfId="163" applyNumberFormat="1" applyFont="1"/>
    <xf numFmtId="167" fontId="3" fillId="8" borderId="0" xfId="1" applyNumberFormat="1" applyFont="1" applyFill="1"/>
    <xf numFmtId="0" fontId="2" fillId="0" borderId="0" xfId="1" applyAlignment="1">
      <alignment horizontal="right"/>
    </xf>
    <xf numFmtId="0" fontId="2" fillId="6" borderId="0" xfId="1" applyFill="1"/>
    <xf numFmtId="166" fontId="3" fillId="6" borderId="0" xfId="1" quotePrefix="1" applyNumberFormat="1" applyFont="1" applyFill="1" applyAlignment="1">
      <alignment horizontal="left"/>
    </xf>
    <xf numFmtId="0" fontId="3" fillId="0" borderId="0" xfId="1" applyFont="1" applyAlignment="1">
      <alignment horizontal="right"/>
    </xf>
    <xf numFmtId="0" fontId="2" fillId="14" borderId="0" xfId="1" applyFill="1"/>
    <xf numFmtId="166" fontId="3" fillId="14" borderId="0" xfId="1" quotePrefix="1" applyNumberFormat="1" applyFont="1" applyFill="1" applyAlignment="1">
      <alignment horizontal="left"/>
    </xf>
    <xf numFmtId="166" fontId="3" fillId="8" borderId="0" xfId="1" applyNumberFormat="1" applyFont="1" applyFill="1" applyAlignment="1">
      <alignment horizontal="left"/>
    </xf>
    <xf numFmtId="0" fontId="3" fillId="14" borderId="0" xfId="1" applyFont="1" applyFill="1"/>
    <xf numFmtId="167" fontId="3" fillId="14" borderId="0" xfId="1" applyNumberFormat="1" applyFont="1" applyFill="1"/>
    <xf numFmtId="166" fontId="3" fillId="0" borderId="8" xfId="1" applyNumberFormat="1" applyFont="1" applyBorder="1" applyAlignment="1">
      <alignment horizontal="center"/>
    </xf>
    <xf numFmtId="166" fontId="3" fillId="14" borderId="0" xfId="1" applyNumberFormat="1" applyFont="1" applyFill="1" applyAlignment="1">
      <alignment horizontal="center"/>
    </xf>
    <xf numFmtId="166" fontId="3" fillId="8" borderId="0" xfId="1" applyNumberFormat="1" applyFont="1" applyFill="1" applyAlignment="1">
      <alignment horizontal="center"/>
    </xf>
    <xf numFmtId="10" fontId="3" fillId="0" borderId="5" xfId="164" applyNumberFormat="1" applyFont="1" applyBorder="1" applyAlignment="1">
      <alignment horizontal="center"/>
    </xf>
    <xf numFmtId="10" fontId="3" fillId="0" borderId="1" xfId="164" applyNumberFormat="1" applyFont="1" applyBorder="1" applyAlignment="1">
      <alignment horizontal="center"/>
    </xf>
    <xf numFmtId="10" fontId="3" fillId="0" borderId="4" xfId="164" applyNumberFormat="1" applyFont="1" applyBorder="1" applyAlignment="1">
      <alignment horizontal="center"/>
    </xf>
    <xf numFmtId="173" fontId="3" fillId="8" borderId="0" xfId="1" applyNumberFormat="1" applyFont="1" applyFill="1" applyAlignment="1">
      <alignment horizontal="center"/>
    </xf>
    <xf numFmtId="10" fontId="3" fillId="0" borderId="2" xfId="164" applyNumberFormat="1" applyFont="1" applyBorder="1" applyAlignment="1">
      <alignment horizontal="center"/>
    </xf>
    <xf numFmtId="10" fontId="3" fillId="0" borderId="0" xfId="164" applyNumberFormat="1" applyFont="1" applyBorder="1" applyAlignment="1">
      <alignment horizontal="center"/>
    </xf>
    <xf numFmtId="10" fontId="3" fillId="0" borderId="10" xfId="164" applyNumberFormat="1" applyFont="1" applyBorder="1" applyAlignment="1">
      <alignment horizontal="center"/>
    </xf>
    <xf numFmtId="10" fontId="3" fillId="0" borderId="3" xfId="164" applyNumberFormat="1" applyFont="1" applyBorder="1" applyAlignment="1">
      <alignment horizontal="center"/>
    </xf>
    <xf numFmtId="10" fontId="3" fillId="0" borderId="9" xfId="164" applyNumberFormat="1" applyFont="1" applyBorder="1" applyAlignment="1">
      <alignment horizontal="center"/>
    </xf>
    <xf numFmtId="10" fontId="3" fillId="0" borderId="8" xfId="164" applyNumberFormat="1" applyFont="1" applyBorder="1" applyAlignment="1">
      <alignment horizontal="center"/>
    </xf>
    <xf numFmtId="173" fontId="3" fillId="14" borderId="0" xfId="1" applyNumberFormat="1" applyFont="1" applyFill="1" applyAlignment="1">
      <alignment horizontal="center"/>
    </xf>
    <xf numFmtId="0" fontId="3" fillId="14" borderId="14" xfId="1" applyFont="1" applyFill="1" applyBorder="1" applyAlignment="1">
      <alignment horizontal="centerContinuous"/>
    </xf>
    <xf numFmtId="0" fontId="8" fillId="0" borderId="0" xfId="16"/>
    <xf numFmtId="168" fontId="25" fillId="10" borderId="0" xfId="163" applyNumberFormat="1" applyFont="1" applyFill="1"/>
    <xf numFmtId="168" fontId="25" fillId="10" borderId="0" xfId="16" applyNumberFormat="1" applyFont="1" applyFill="1"/>
    <xf numFmtId="0" fontId="25" fillId="10" borderId="0" xfId="16" applyFont="1" applyFill="1"/>
    <xf numFmtId="0" fontId="25" fillId="0" borderId="0" xfId="16" applyFont="1"/>
    <xf numFmtId="0" fontId="25" fillId="8" borderId="0" xfId="16" applyFont="1" applyFill="1"/>
    <xf numFmtId="166" fontId="0" fillId="0" borderId="0" xfId="165" applyNumberFormat="1" applyFont="1"/>
    <xf numFmtId="0" fontId="7" fillId="0" borderId="0" xfId="16" applyFont="1"/>
    <xf numFmtId="167" fontId="7" fillId="0" borderId="0" xfId="16" applyNumberFormat="1" applyFont="1"/>
    <xf numFmtId="2" fontId="6" fillId="0" borderId="0" xfId="16" applyNumberFormat="1" applyFont="1"/>
    <xf numFmtId="9" fontId="2" fillId="0" borderId="0" xfId="160" applyNumberFormat="1" applyAlignment="1">
      <alignment horizontal="center"/>
    </xf>
    <xf numFmtId="9" fontId="3" fillId="0" borderId="5" xfId="160" applyNumberFormat="1" applyFont="1" applyBorder="1" applyAlignment="1">
      <alignment horizontal="center"/>
    </xf>
    <xf numFmtId="9" fontId="3" fillId="0" borderId="4" xfId="160" applyNumberFormat="1" applyFont="1" applyBorder="1" applyAlignment="1">
      <alignment horizontal="center"/>
    </xf>
    <xf numFmtId="173" fontId="3" fillId="0" borderId="0" xfId="160" applyNumberFormat="1" applyFont="1"/>
    <xf numFmtId="9" fontId="3" fillId="0" borderId="3" xfId="160" applyNumberFormat="1" applyFont="1" applyBorder="1" applyAlignment="1">
      <alignment horizontal="center"/>
    </xf>
    <xf numFmtId="9" fontId="3" fillId="0" borderId="8" xfId="160" applyNumberFormat="1" applyFont="1" applyBorder="1" applyAlignment="1">
      <alignment horizontal="center"/>
    </xf>
    <xf numFmtId="173" fontId="3" fillId="0" borderId="0" xfId="160" applyNumberFormat="1" applyFont="1" applyAlignment="1">
      <alignment horizontal="center"/>
    </xf>
    <xf numFmtId="0" fontId="3" fillId="0" borderId="0" xfId="160" applyFont="1"/>
    <xf numFmtId="167" fontId="6" fillId="10" borderId="0" xfId="16" quotePrefix="1" applyNumberFormat="1" applyFont="1" applyFill="1"/>
    <xf numFmtId="167" fontId="6" fillId="10" borderId="0" xfId="16" applyNumberFormat="1" applyFont="1" applyFill="1"/>
    <xf numFmtId="0" fontId="3" fillId="6" borderId="1" xfId="160" applyFont="1" applyFill="1" applyBorder="1" applyAlignment="1">
      <alignment horizontal="centerContinuous"/>
    </xf>
    <xf numFmtId="2" fontId="6" fillId="7" borderId="0" xfId="16" quotePrefix="1" applyNumberFormat="1" applyFont="1" applyFill="1"/>
    <xf numFmtId="2" fontId="6" fillId="7" borderId="0" xfId="16" applyNumberFormat="1" applyFont="1" applyFill="1"/>
    <xf numFmtId="0" fontId="7" fillId="8" borderId="0" xfId="16" applyFont="1" applyFill="1"/>
    <xf numFmtId="167" fontId="7" fillId="8" borderId="0" xfId="16" applyNumberFormat="1" applyFont="1" applyFill="1"/>
    <xf numFmtId="167" fontId="6" fillId="8" borderId="0" xfId="16" applyNumberFormat="1" applyFont="1" applyFill="1"/>
    <xf numFmtId="2" fontId="6" fillId="8" borderId="0" xfId="16" applyNumberFormat="1" applyFont="1" applyFill="1"/>
    <xf numFmtId="0" fontId="3" fillId="16" borderId="0" xfId="160" applyFont="1" applyFill="1" applyAlignment="1">
      <alignment horizontal="centerContinuous"/>
    </xf>
    <xf numFmtId="2" fontId="6" fillId="0" borderId="0" xfId="16" applyNumberFormat="1" applyFont="1" applyAlignment="1">
      <alignment horizontal="right"/>
    </xf>
    <xf numFmtId="0" fontId="6" fillId="0" borderId="0" xfId="16" applyFont="1"/>
    <xf numFmtId="167" fontId="6" fillId="0" borderId="0" xfId="16" applyNumberFormat="1" applyFont="1"/>
    <xf numFmtId="0" fontId="6" fillId="0" borderId="0" xfId="16" applyFont="1" applyAlignment="1">
      <alignment horizontal="right"/>
    </xf>
    <xf numFmtId="43" fontId="7" fillId="0" borderId="0" xfId="161" applyFont="1" applyFill="1" applyBorder="1" applyAlignment="1" applyProtection="1"/>
    <xf numFmtId="43" fontId="6" fillId="0" borderId="0" xfId="161" applyFont="1" applyFill="1" applyBorder="1" applyAlignment="1" applyProtection="1"/>
    <xf numFmtId="165" fontId="6" fillId="8" borderId="0" xfId="161" applyNumberFormat="1" applyFont="1" applyFill="1" applyBorder="1" applyAlignment="1" applyProtection="1"/>
    <xf numFmtId="43" fontId="6" fillId="8" borderId="0" xfId="161" applyFont="1" applyFill="1" applyBorder="1" applyAlignment="1" applyProtection="1"/>
    <xf numFmtId="43" fontId="6" fillId="8" borderId="0" xfId="161" applyFont="1" applyFill="1" applyBorder="1" applyAlignment="1" applyProtection="1">
      <alignment horizontal="center"/>
    </xf>
    <xf numFmtId="0" fontId="7" fillId="8" borderId="0" xfId="16" applyFont="1" applyFill="1" applyAlignment="1">
      <alignment horizontal="center"/>
    </xf>
    <xf numFmtId="0" fontId="6" fillId="8" borderId="0" xfId="16" applyFont="1" applyFill="1"/>
    <xf numFmtId="165" fontId="6" fillId="0" borderId="1" xfId="157" applyNumberFormat="1" applyFont="1" applyFill="1" applyBorder="1" applyAlignment="1" applyProtection="1"/>
    <xf numFmtId="43" fontId="6" fillId="0" borderId="1" xfId="161" applyFont="1" applyFill="1" applyBorder="1" applyAlignment="1" applyProtection="1"/>
    <xf numFmtId="43" fontId="6" fillId="0" borderId="1" xfId="161" applyFont="1" applyFill="1" applyBorder="1" applyAlignment="1" applyProtection="1">
      <alignment horizontal="center"/>
    </xf>
    <xf numFmtId="166" fontId="6" fillId="0" borderId="1" xfId="166" applyNumberFormat="1" applyFont="1" applyFill="1" applyBorder="1" applyAlignment="1" applyProtection="1">
      <alignment horizontal="center"/>
    </xf>
    <xf numFmtId="173" fontId="6" fillId="0" borderId="1" xfId="16" applyNumberFormat="1" applyFont="1" applyBorder="1" applyAlignment="1">
      <alignment horizontal="center"/>
    </xf>
    <xf numFmtId="165" fontId="6" fillId="0" borderId="0" xfId="157" applyNumberFormat="1" applyFont="1" applyFill="1" applyBorder="1" applyAlignment="1" applyProtection="1"/>
    <xf numFmtId="43" fontId="6" fillId="0" borderId="0" xfId="161" applyFont="1" applyFill="1" applyBorder="1" applyAlignment="1" applyProtection="1">
      <alignment horizontal="center"/>
    </xf>
    <xf numFmtId="166" fontId="6" fillId="0" borderId="0" xfId="166" applyNumberFormat="1" applyFont="1" applyFill="1" applyBorder="1" applyAlignment="1" applyProtection="1">
      <alignment horizontal="center"/>
    </xf>
    <xf numFmtId="173" fontId="6" fillId="0" borderId="0" xfId="16" applyNumberFormat="1" applyFont="1" applyAlignment="1">
      <alignment horizontal="center"/>
    </xf>
    <xf numFmtId="0" fontId="6" fillId="0" borderId="0" xfId="16" applyFont="1" applyAlignment="1">
      <alignment horizontal="center"/>
    </xf>
    <xf numFmtId="185" fontId="6" fillId="0" borderId="1" xfId="16" applyNumberFormat="1" applyFont="1" applyBorder="1"/>
    <xf numFmtId="186" fontId="6" fillId="0" borderId="1" xfId="16" applyNumberFormat="1" applyFont="1" applyBorder="1"/>
    <xf numFmtId="187" fontId="6" fillId="0" borderId="1" xfId="16" applyNumberFormat="1" applyFont="1" applyBorder="1" applyAlignment="1">
      <alignment horizontal="right"/>
    </xf>
    <xf numFmtId="0" fontId="6" fillId="0" borderId="1" xfId="16" applyFont="1" applyBorder="1" applyAlignment="1">
      <alignment horizontal="center"/>
    </xf>
    <xf numFmtId="0" fontId="7" fillId="6" borderId="0" xfId="16" applyFont="1" applyFill="1" applyAlignment="1">
      <alignment horizontal="centerContinuous"/>
    </xf>
    <xf numFmtId="0" fontId="6" fillId="6" borderId="0" xfId="16" applyFont="1" applyFill="1" applyAlignment="1">
      <alignment horizontal="centerContinuous"/>
    </xf>
    <xf numFmtId="0" fontId="2" fillId="2" borderId="0" xfId="167" applyFont="1" applyFill="1"/>
    <xf numFmtId="0" fontId="3" fillId="2" borderId="0" xfId="167" applyFont="1" applyFill="1"/>
    <xf numFmtId="0" fontId="40" fillId="2" borderId="0" xfId="168" applyFill="1"/>
    <xf numFmtId="173" fontId="0" fillId="3" borderId="0" xfId="0" applyNumberFormat="1" applyFill="1"/>
    <xf numFmtId="10" fontId="0" fillId="8" borderId="0" xfId="0" applyNumberFormat="1" applyFill="1"/>
    <xf numFmtId="0" fontId="34" fillId="0" borderId="0" xfId="0" applyFont="1"/>
    <xf numFmtId="10" fontId="20" fillId="0" borderId="0" xfId="150" applyNumberFormat="1" applyFont="1"/>
    <xf numFmtId="10" fontId="32" fillId="0" borderId="0" xfId="150" applyNumberFormat="1" applyFont="1"/>
    <xf numFmtId="164" fontId="20" fillId="0" borderId="0" xfId="150" applyNumberFormat="1" applyFont="1"/>
    <xf numFmtId="0" fontId="20" fillId="11" borderId="0" xfId="158" applyFont="1" applyFill="1"/>
    <xf numFmtId="183" fontId="20" fillId="11" borderId="0" xfId="159" applyNumberFormat="1" applyFont="1" applyFill="1"/>
    <xf numFmtId="3" fontId="20" fillId="11" borderId="0" xfId="159" applyNumberFormat="1" applyFont="1" applyFill="1"/>
    <xf numFmtId="10" fontId="20" fillId="11" borderId="0" xfId="158" applyNumberFormat="1" applyFont="1" applyFill="1"/>
    <xf numFmtId="10" fontId="20" fillId="11" borderId="0" xfId="150" applyNumberFormat="1" applyFont="1" applyFill="1"/>
    <xf numFmtId="10" fontId="32" fillId="11" borderId="0" xfId="150" applyNumberFormat="1" applyFont="1" applyFill="1"/>
    <xf numFmtId="9" fontId="20" fillId="0" borderId="0" xfId="158" applyNumberFormat="1" applyFont="1"/>
    <xf numFmtId="0" fontId="32" fillId="0" borderId="1" xfId="158" applyFont="1" applyBorder="1" applyAlignment="1">
      <alignment horizontal="left"/>
    </xf>
    <xf numFmtId="167" fontId="32" fillId="0" borderId="0" xfId="158" applyNumberFormat="1" applyFont="1" applyAlignment="1">
      <alignment horizontal="center"/>
    </xf>
    <xf numFmtId="9" fontId="32" fillId="0" borderId="0" xfId="150" applyFont="1" applyAlignment="1">
      <alignment horizontal="center"/>
    </xf>
    <xf numFmtId="9" fontId="32" fillId="23" borderId="0" xfId="150" applyFont="1" applyFill="1" applyAlignment="1">
      <alignment horizontal="right"/>
    </xf>
    <xf numFmtId="0" fontId="31" fillId="2" borderId="0" xfId="169" applyFont="1" applyFill="1"/>
    <xf numFmtId="0" fontId="30" fillId="2" borderId="0" xfId="169" applyFont="1" applyFill="1"/>
    <xf numFmtId="169" fontId="7" fillId="0" borderId="0" xfId="150" applyNumberFormat="1" applyFont="1" applyFill="1" applyBorder="1" applyAlignment="1" applyProtection="1"/>
    <xf numFmtId="170" fontId="6" fillId="0" borderId="0" xfId="149" applyNumberFormat="1" applyFont="1" applyFill="1" applyBorder="1" applyAlignment="1" applyProtection="1"/>
    <xf numFmtId="43" fontId="7" fillId="0" borderId="0" xfId="16" applyNumberFormat="1" applyFont="1"/>
    <xf numFmtId="188" fontId="6" fillId="8" borderId="0" xfId="149" applyNumberFormat="1" applyFont="1" applyFill="1" applyBorder="1" applyAlignment="1" applyProtection="1"/>
    <xf numFmtId="166" fontId="7" fillId="0" borderId="0" xfId="16" applyNumberFormat="1" applyFont="1"/>
    <xf numFmtId="0" fontId="7" fillId="0" borderId="0" xfId="16" applyFont="1" applyAlignment="1">
      <alignment horizontal="right"/>
    </xf>
    <xf numFmtId="2" fontId="6" fillId="27" borderId="0" xfId="16" applyNumberFormat="1" applyFont="1" applyFill="1"/>
    <xf numFmtId="9" fontId="7" fillId="0" borderId="0" xfId="16" applyNumberFormat="1" applyFont="1"/>
    <xf numFmtId="9" fontId="7" fillId="28" borderId="0" xfId="16" applyNumberFormat="1" applyFont="1" applyFill="1"/>
    <xf numFmtId="43" fontId="7" fillId="29" borderId="0" xfId="16" applyNumberFormat="1" applyFont="1" applyFill="1"/>
    <xf numFmtId="0" fontId="6" fillId="29" borderId="0" xfId="16" applyFont="1" applyFill="1"/>
    <xf numFmtId="0" fontId="7" fillId="28" borderId="0" xfId="16" applyFont="1" applyFill="1"/>
    <xf numFmtId="165" fontId="7" fillId="0" borderId="0" xfId="3" applyNumberFormat="1" applyFont="1" applyFill="1" applyBorder="1" applyAlignment="1" applyProtection="1"/>
    <xf numFmtId="169" fontId="7" fillId="28" borderId="0" xfId="16" applyNumberFormat="1" applyFont="1" applyFill="1"/>
    <xf numFmtId="168" fontId="7" fillId="28" borderId="0" xfId="16" applyNumberFormat="1" applyFont="1" applyFill="1"/>
    <xf numFmtId="2" fontId="7" fillId="28" borderId="0" xfId="16" applyNumberFormat="1" applyFont="1" applyFill="1"/>
    <xf numFmtId="2" fontId="7" fillId="0" borderId="0" xfId="16" applyNumberFormat="1" applyFont="1"/>
    <xf numFmtId="173" fontId="6" fillId="3" borderId="0" xfId="16" applyNumberFormat="1" applyFont="1" applyFill="1"/>
    <xf numFmtId="167" fontId="7" fillId="28" borderId="0" xfId="16" applyNumberFormat="1" applyFont="1" applyFill="1"/>
    <xf numFmtId="173" fontId="6" fillId="3" borderId="0" xfId="16" applyNumberFormat="1" applyFont="1" applyFill="1" applyAlignment="1">
      <alignment horizontal="right"/>
    </xf>
    <xf numFmtId="0" fontId="7" fillId="0" borderId="20" xfId="16" applyFont="1" applyBorder="1"/>
    <xf numFmtId="0" fontId="6" fillId="0" borderId="20" xfId="16" applyFont="1" applyBorder="1" applyAlignment="1">
      <alignment horizontal="right"/>
    </xf>
    <xf numFmtId="0" fontId="7" fillId="30" borderId="0" xfId="16" applyFont="1" applyFill="1"/>
    <xf numFmtId="0" fontId="7" fillId="29" borderId="0" xfId="16" applyFont="1" applyFill="1"/>
    <xf numFmtId="165" fontId="7" fillId="29" borderId="0" xfId="16" applyNumberFormat="1" applyFont="1" applyFill="1"/>
    <xf numFmtId="0" fontId="7" fillId="31" borderId="0" xfId="16" applyFont="1" applyFill="1"/>
    <xf numFmtId="0" fontId="6" fillId="31" borderId="0" xfId="16" applyFont="1" applyFill="1"/>
    <xf numFmtId="0" fontId="7" fillId="27" borderId="0" xfId="16" applyFont="1" applyFill="1"/>
    <xf numFmtId="0" fontId="41" fillId="27" borderId="0" xfId="16" applyFont="1" applyFill="1"/>
    <xf numFmtId="0" fontId="6" fillId="27" borderId="0" xfId="16" applyFont="1" applyFill="1"/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3" fillId="10" borderId="2" xfId="0" applyFont="1" applyFill="1" applyBorder="1" applyAlignment="1">
      <alignment horizontal="right" vertical="center" wrapText="1"/>
    </xf>
    <xf numFmtId="0" fontId="0" fillId="10" borderId="2" xfId="0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6" borderId="13" xfId="0" applyFont="1" applyFill="1" applyBorder="1" applyAlignment="1">
      <alignment horizontal="right" vertical="center"/>
    </xf>
    <xf numFmtId="0" fontId="0" fillId="6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34" fillId="7" borderId="0" xfId="0" applyFont="1" applyFill="1" applyAlignment="1">
      <alignment horizontal="center" wrapText="1"/>
    </xf>
    <xf numFmtId="180" fontId="24" fillId="23" borderId="0" xfId="155" applyNumberFormat="1" applyFont="1" applyFill="1" applyAlignment="1">
      <alignment horizontal="left"/>
    </xf>
    <xf numFmtId="0" fontId="3" fillId="8" borderId="13" xfId="1" applyFont="1" applyFill="1" applyBorder="1" applyAlignment="1">
      <alignment horizontal="right" vertical="center"/>
    </xf>
    <xf numFmtId="0" fontId="3" fillId="7" borderId="2" xfId="160" applyFont="1" applyFill="1" applyBorder="1" applyAlignment="1">
      <alignment horizontal="right" vertical="center"/>
    </xf>
    <xf numFmtId="0" fontId="30" fillId="7" borderId="2" xfId="16" applyFont="1" applyFill="1" applyBorder="1" applyAlignment="1">
      <alignment horizontal="right" vertical="center"/>
    </xf>
    <xf numFmtId="0" fontId="3" fillId="14" borderId="13" xfId="0" applyFont="1" applyFill="1" applyBorder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42" fillId="0" borderId="0" xfId="0" applyFont="1"/>
    <xf numFmtId="0" fontId="42" fillId="0" borderId="0" xfId="0" applyFont="1" applyAlignment="1">
      <alignment horizontal="left"/>
    </xf>
    <xf numFmtId="0" fontId="16" fillId="0" borderId="0" xfId="152" applyAlignment="1">
      <alignment horizontal="left"/>
    </xf>
  </cellXfs>
  <cellStyles count="170">
    <cellStyle name="Comma" xfId="149" builtinId="3"/>
    <cellStyle name="Comma 2" xfId="2" xr:uid="{00000000-0005-0000-0000-000001000000}"/>
    <cellStyle name="Comma 2 3" xfId="157" xr:uid="{480AC60A-87FB-4125-BAD5-5C72A4C92E08}"/>
    <cellStyle name="Comma 3" xfId="3" xr:uid="{00000000-0005-0000-0000-000002000000}"/>
    <cellStyle name="Comma 3 2" xfId="159" xr:uid="{D9AE2DAB-9897-4A5D-ABEF-1812A10BC271}"/>
    <cellStyle name="Comma 4" xfId="4" xr:uid="{00000000-0005-0000-0000-000003000000}"/>
    <cellStyle name="Comma 5" xfId="5" xr:uid="{00000000-0005-0000-0000-000004000000}"/>
    <cellStyle name="Comma 6" xfId="163" xr:uid="{02231F1F-9B75-4FA4-B3C4-95F384C95D67}"/>
    <cellStyle name="Comma 6 2" xfId="161" xr:uid="{C1839B4F-F8CC-4EF2-9438-D83E4EA8F359}"/>
    <cellStyle name="Comma 9" xfId="156" xr:uid="{EAE3E7F6-8EA1-4E50-9A10-3FA742BABF85}"/>
    <cellStyle name="Good" xfId="153" builtinId="26"/>
    <cellStyle name="Hyperlink" xfId="152" builtinId="8"/>
    <cellStyle name="Hyperlink 2" xfId="168" xr:uid="{A5BFE8D4-AF79-49F7-B3BC-E096159D9E2B}"/>
    <cellStyle name="Input" xfId="154" builtinId="20"/>
    <cellStyle name="Normal" xfId="0" builtinId="0"/>
    <cellStyle name="Normal 10" xfId="6" xr:uid="{00000000-0005-0000-0000-000007000000}"/>
    <cellStyle name="Normal 11" xfId="7" xr:uid="{00000000-0005-0000-0000-000008000000}"/>
    <cellStyle name="Normal 12" xfId="8" xr:uid="{00000000-0005-0000-0000-000009000000}"/>
    <cellStyle name="Normal 13" xfId="9" xr:uid="{00000000-0005-0000-0000-00000A000000}"/>
    <cellStyle name="Normal 14" xfId="10" xr:uid="{00000000-0005-0000-0000-00000B000000}"/>
    <cellStyle name="Normal 15" xfId="11" xr:uid="{00000000-0005-0000-0000-00000C000000}"/>
    <cellStyle name="Normal 16" xfId="12" xr:uid="{00000000-0005-0000-0000-00000D000000}"/>
    <cellStyle name="Normal 17" xfId="13" xr:uid="{00000000-0005-0000-0000-00000E000000}"/>
    <cellStyle name="Normal 18" xfId="14" xr:uid="{00000000-0005-0000-0000-00000F000000}"/>
    <cellStyle name="Normal 19" xfId="15" xr:uid="{00000000-0005-0000-0000-000010000000}"/>
    <cellStyle name="Normal 2" xfId="1" xr:uid="{00000000-0005-0000-0000-000011000000}"/>
    <cellStyle name="Normal 2 2" xfId="16" xr:uid="{00000000-0005-0000-0000-000012000000}"/>
    <cellStyle name="Normal 2 3 2" xfId="158" xr:uid="{72FC75D5-6594-4832-931B-C7475EADE99F}"/>
    <cellStyle name="Normal 20" xfId="17" xr:uid="{00000000-0005-0000-0000-000013000000}"/>
    <cellStyle name="Normal 21" xfId="18" xr:uid="{00000000-0005-0000-0000-000014000000}"/>
    <cellStyle name="Normal 22" xfId="19" xr:uid="{00000000-0005-0000-0000-000015000000}"/>
    <cellStyle name="Normal 23" xfId="20" xr:uid="{00000000-0005-0000-0000-000016000000}"/>
    <cellStyle name="Normal 24" xfId="21" xr:uid="{00000000-0005-0000-0000-000017000000}"/>
    <cellStyle name="Normal 25" xfId="22" xr:uid="{00000000-0005-0000-0000-000018000000}"/>
    <cellStyle name="Normal 26" xfId="23" xr:uid="{00000000-0005-0000-0000-000019000000}"/>
    <cellStyle name="Normal 27" xfId="24" xr:uid="{00000000-0005-0000-0000-00001A000000}"/>
    <cellStyle name="Normal 28" xfId="25" xr:uid="{00000000-0005-0000-0000-00001B000000}"/>
    <cellStyle name="Normal 29" xfId="26" xr:uid="{00000000-0005-0000-0000-00001C000000}"/>
    <cellStyle name="Normal 3" xfId="27" xr:uid="{00000000-0005-0000-0000-00001D000000}"/>
    <cellStyle name="Normal 30" xfId="28" xr:uid="{00000000-0005-0000-0000-00001E000000}"/>
    <cellStyle name="Normal 31" xfId="29" xr:uid="{00000000-0005-0000-0000-00001F000000}"/>
    <cellStyle name="Normal 32" xfId="30" xr:uid="{00000000-0005-0000-0000-000020000000}"/>
    <cellStyle name="Normal 33" xfId="31" xr:uid="{00000000-0005-0000-0000-000021000000}"/>
    <cellStyle name="Normal 34" xfId="32" xr:uid="{00000000-0005-0000-0000-000022000000}"/>
    <cellStyle name="Normal 35" xfId="33" xr:uid="{00000000-0005-0000-0000-000023000000}"/>
    <cellStyle name="Normal 36" xfId="34" xr:uid="{00000000-0005-0000-0000-000024000000}"/>
    <cellStyle name="Normal 37" xfId="35" xr:uid="{00000000-0005-0000-0000-000025000000}"/>
    <cellStyle name="Normal 38" xfId="36" xr:uid="{00000000-0005-0000-0000-000026000000}"/>
    <cellStyle name="Normal 39" xfId="37" xr:uid="{00000000-0005-0000-0000-000027000000}"/>
    <cellStyle name="Normal 4" xfId="38" xr:uid="{00000000-0005-0000-0000-000028000000}"/>
    <cellStyle name="Normal 40" xfId="39" xr:uid="{00000000-0005-0000-0000-000029000000}"/>
    <cellStyle name="Normal 41" xfId="40" xr:uid="{00000000-0005-0000-0000-00002A000000}"/>
    <cellStyle name="Normal 42" xfId="41" xr:uid="{00000000-0005-0000-0000-00002B000000}"/>
    <cellStyle name="Normal 43" xfId="42" xr:uid="{00000000-0005-0000-0000-00002C000000}"/>
    <cellStyle name="Normal 44" xfId="43" xr:uid="{00000000-0005-0000-0000-00002D000000}"/>
    <cellStyle name="Normal 45" xfId="44" xr:uid="{00000000-0005-0000-0000-00002E000000}"/>
    <cellStyle name="Normal 46" xfId="45" xr:uid="{00000000-0005-0000-0000-00002F000000}"/>
    <cellStyle name="Normal 47" xfId="46" xr:uid="{00000000-0005-0000-0000-000030000000}"/>
    <cellStyle name="Normal 48" xfId="47" xr:uid="{00000000-0005-0000-0000-000031000000}"/>
    <cellStyle name="Normal 49" xfId="48" xr:uid="{00000000-0005-0000-0000-000032000000}"/>
    <cellStyle name="Normal 5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" xfId="60" xr:uid="{00000000-0005-0000-0000-00003E000000}"/>
    <cellStyle name="Normal 60" xfId="61" xr:uid="{00000000-0005-0000-0000-00003F000000}"/>
    <cellStyle name="Normal 61" xfId="62" xr:uid="{00000000-0005-0000-0000-000040000000}"/>
    <cellStyle name="Normal 62" xfId="63" xr:uid="{00000000-0005-0000-0000-000041000000}"/>
    <cellStyle name="Normal 63" xfId="64" xr:uid="{00000000-0005-0000-0000-000042000000}"/>
    <cellStyle name="Normal 64" xfId="65" xr:uid="{00000000-0005-0000-0000-000043000000}"/>
    <cellStyle name="Normal 65" xfId="66" xr:uid="{00000000-0005-0000-0000-000044000000}"/>
    <cellStyle name="Normal 66" xfId="67" xr:uid="{00000000-0005-0000-0000-000045000000}"/>
    <cellStyle name="Normal 67" xfId="68" xr:uid="{00000000-0005-0000-0000-000046000000}"/>
    <cellStyle name="Normal 68" xfId="69" xr:uid="{00000000-0005-0000-0000-000047000000}"/>
    <cellStyle name="Normal 69" xfId="70" xr:uid="{00000000-0005-0000-0000-000048000000}"/>
    <cellStyle name="Normal 7" xfId="71" xr:uid="{00000000-0005-0000-0000-000049000000}"/>
    <cellStyle name="Normal 70" xfId="72" xr:uid="{00000000-0005-0000-0000-00004A000000}"/>
    <cellStyle name="Normal 71" xfId="73" xr:uid="{00000000-0005-0000-0000-00004B000000}"/>
    <cellStyle name="Normal 72" xfId="160" xr:uid="{FF6022E5-8088-492D-9536-C5A2EAF3089D}"/>
    <cellStyle name="Normal 72 2" xfId="169" xr:uid="{6912D65B-7229-40C5-915D-2E7F37EDE878}"/>
    <cellStyle name="Normal 74" xfId="151" xr:uid="{00000000-0005-0000-0000-00004C000000}"/>
    <cellStyle name="Normal 74 2" xfId="167" xr:uid="{17BD78F5-881B-4D50-82EF-90F8D11B9364}"/>
    <cellStyle name="Normal 75" xfId="155" xr:uid="{6713570F-5301-41AB-B667-21B775408C8E}"/>
    <cellStyle name="Normal 8" xfId="74" xr:uid="{00000000-0005-0000-0000-00004D000000}"/>
    <cellStyle name="Normal 9" xfId="75" xr:uid="{00000000-0005-0000-0000-00004E000000}"/>
    <cellStyle name="Note 10" xfId="76" xr:uid="{00000000-0005-0000-0000-00004F000000}"/>
    <cellStyle name="Note 11" xfId="77" xr:uid="{00000000-0005-0000-0000-000050000000}"/>
    <cellStyle name="Note 12" xfId="78" xr:uid="{00000000-0005-0000-0000-000051000000}"/>
    <cellStyle name="Note 13" xfId="79" xr:uid="{00000000-0005-0000-0000-000052000000}"/>
    <cellStyle name="Note 14" xfId="80" xr:uid="{00000000-0005-0000-0000-000053000000}"/>
    <cellStyle name="Note 15" xfId="81" xr:uid="{00000000-0005-0000-0000-000054000000}"/>
    <cellStyle name="Note 16" xfId="82" xr:uid="{00000000-0005-0000-0000-000055000000}"/>
    <cellStyle name="Note 17" xfId="83" xr:uid="{00000000-0005-0000-0000-000056000000}"/>
    <cellStyle name="Note 18" xfId="84" xr:uid="{00000000-0005-0000-0000-000057000000}"/>
    <cellStyle name="Note 19" xfId="85" xr:uid="{00000000-0005-0000-0000-000058000000}"/>
    <cellStyle name="Note 2" xfId="86" xr:uid="{00000000-0005-0000-0000-000059000000}"/>
    <cellStyle name="Note 20" xfId="87" xr:uid="{00000000-0005-0000-0000-00005A000000}"/>
    <cellStyle name="Note 21" xfId="88" xr:uid="{00000000-0005-0000-0000-00005B000000}"/>
    <cellStyle name="Note 22" xfId="89" xr:uid="{00000000-0005-0000-0000-00005C000000}"/>
    <cellStyle name="Note 23" xfId="90" xr:uid="{00000000-0005-0000-0000-00005D000000}"/>
    <cellStyle name="Note 24" xfId="91" xr:uid="{00000000-0005-0000-0000-00005E000000}"/>
    <cellStyle name="Note 25" xfId="92" xr:uid="{00000000-0005-0000-0000-00005F000000}"/>
    <cellStyle name="Note 26" xfId="93" xr:uid="{00000000-0005-0000-0000-000060000000}"/>
    <cellStyle name="Note 27" xfId="94" xr:uid="{00000000-0005-0000-0000-000061000000}"/>
    <cellStyle name="Note 28" xfId="95" xr:uid="{00000000-0005-0000-0000-000062000000}"/>
    <cellStyle name="Note 29" xfId="96" xr:uid="{00000000-0005-0000-0000-000063000000}"/>
    <cellStyle name="Note 3" xfId="97" xr:uid="{00000000-0005-0000-0000-000064000000}"/>
    <cellStyle name="Note 30" xfId="98" xr:uid="{00000000-0005-0000-0000-000065000000}"/>
    <cellStyle name="Note 31" xfId="99" xr:uid="{00000000-0005-0000-0000-000066000000}"/>
    <cellStyle name="Note 32" xfId="100" xr:uid="{00000000-0005-0000-0000-000067000000}"/>
    <cellStyle name="Note 33" xfId="101" xr:uid="{00000000-0005-0000-0000-000068000000}"/>
    <cellStyle name="Note 34" xfId="102" xr:uid="{00000000-0005-0000-0000-000069000000}"/>
    <cellStyle name="Note 35" xfId="103" xr:uid="{00000000-0005-0000-0000-00006A000000}"/>
    <cellStyle name="Note 36" xfId="104" xr:uid="{00000000-0005-0000-0000-00006B000000}"/>
    <cellStyle name="Note 37" xfId="105" xr:uid="{00000000-0005-0000-0000-00006C000000}"/>
    <cellStyle name="Note 38" xfId="106" xr:uid="{00000000-0005-0000-0000-00006D000000}"/>
    <cellStyle name="Note 39" xfId="107" xr:uid="{00000000-0005-0000-0000-00006E000000}"/>
    <cellStyle name="Note 4" xfId="108" xr:uid="{00000000-0005-0000-0000-00006F000000}"/>
    <cellStyle name="Note 40" xfId="109" xr:uid="{00000000-0005-0000-0000-000070000000}"/>
    <cellStyle name="Note 41" xfId="110" xr:uid="{00000000-0005-0000-0000-000071000000}"/>
    <cellStyle name="Note 42" xfId="111" xr:uid="{00000000-0005-0000-0000-000072000000}"/>
    <cellStyle name="Note 43" xfId="112" xr:uid="{00000000-0005-0000-0000-000073000000}"/>
    <cellStyle name="Note 44" xfId="113" xr:uid="{00000000-0005-0000-0000-000074000000}"/>
    <cellStyle name="Note 45" xfId="114" xr:uid="{00000000-0005-0000-0000-000075000000}"/>
    <cellStyle name="Note 46" xfId="115" xr:uid="{00000000-0005-0000-0000-000076000000}"/>
    <cellStyle name="Note 47" xfId="116" xr:uid="{00000000-0005-0000-0000-000077000000}"/>
    <cellStyle name="Note 48" xfId="117" xr:uid="{00000000-0005-0000-0000-000078000000}"/>
    <cellStyle name="Note 49" xfId="118" xr:uid="{00000000-0005-0000-0000-000079000000}"/>
    <cellStyle name="Note 5" xfId="119" xr:uid="{00000000-0005-0000-0000-00007A000000}"/>
    <cellStyle name="Note 50" xfId="120" xr:uid="{00000000-0005-0000-0000-00007B000000}"/>
    <cellStyle name="Note 51" xfId="121" xr:uid="{00000000-0005-0000-0000-00007C000000}"/>
    <cellStyle name="Note 52" xfId="122" xr:uid="{00000000-0005-0000-0000-00007D000000}"/>
    <cellStyle name="Note 53" xfId="123" xr:uid="{00000000-0005-0000-0000-00007E000000}"/>
    <cellStyle name="Note 54" xfId="124" xr:uid="{00000000-0005-0000-0000-00007F000000}"/>
    <cellStyle name="Note 55" xfId="125" xr:uid="{00000000-0005-0000-0000-000080000000}"/>
    <cellStyle name="Note 56" xfId="126" xr:uid="{00000000-0005-0000-0000-000081000000}"/>
    <cellStyle name="Note 57" xfId="127" xr:uid="{00000000-0005-0000-0000-000082000000}"/>
    <cellStyle name="Note 58" xfId="128" xr:uid="{00000000-0005-0000-0000-000083000000}"/>
    <cellStyle name="Note 59" xfId="129" xr:uid="{00000000-0005-0000-0000-000084000000}"/>
    <cellStyle name="Note 6" xfId="130" xr:uid="{00000000-0005-0000-0000-000085000000}"/>
    <cellStyle name="Note 60" xfId="131" xr:uid="{00000000-0005-0000-0000-000086000000}"/>
    <cellStyle name="Note 61" xfId="132" xr:uid="{00000000-0005-0000-0000-000087000000}"/>
    <cellStyle name="Note 62" xfId="133" xr:uid="{00000000-0005-0000-0000-000088000000}"/>
    <cellStyle name="Note 63" xfId="134" xr:uid="{00000000-0005-0000-0000-000089000000}"/>
    <cellStyle name="Note 64" xfId="135" xr:uid="{00000000-0005-0000-0000-00008A000000}"/>
    <cellStyle name="Note 65" xfId="136" xr:uid="{00000000-0005-0000-0000-00008B000000}"/>
    <cellStyle name="Note 66" xfId="137" xr:uid="{00000000-0005-0000-0000-00008C000000}"/>
    <cellStyle name="Note 67" xfId="138" xr:uid="{00000000-0005-0000-0000-00008D000000}"/>
    <cellStyle name="Note 68" xfId="139" xr:uid="{00000000-0005-0000-0000-00008E000000}"/>
    <cellStyle name="Note 69" xfId="140" xr:uid="{00000000-0005-0000-0000-00008F000000}"/>
    <cellStyle name="Note 7" xfId="141" xr:uid="{00000000-0005-0000-0000-000090000000}"/>
    <cellStyle name="Note 70" xfId="142" xr:uid="{00000000-0005-0000-0000-000091000000}"/>
    <cellStyle name="Note 71" xfId="143" xr:uid="{00000000-0005-0000-0000-000092000000}"/>
    <cellStyle name="Note 8" xfId="144" xr:uid="{00000000-0005-0000-0000-000093000000}"/>
    <cellStyle name="Note 9" xfId="145" xr:uid="{00000000-0005-0000-0000-000094000000}"/>
    <cellStyle name="Percent" xfId="150" builtinId="5"/>
    <cellStyle name="Percent 2" xfId="146" xr:uid="{00000000-0005-0000-0000-000096000000}"/>
    <cellStyle name="Percent 2 2" xfId="164" xr:uid="{20FED490-7E1B-4599-A680-1C0252E52248}"/>
    <cellStyle name="Percent 2 2 2" xfId="166" xr:uid="{868BFD83-6767-4431-810F-AE042E34EF1D}"/>
    <cellStyle name="Percent 3" xfId="147" xr:uid="{00000000-0005-0000-0000-000097000000}"/>
    <cellStyle name="Percent 4" xfId="148" xr:uid="{00000000-0005-0000-0000-000098000000}"/>
    <cellStyle name="Percent 5" xfId="165" xr:uid="{1E6D9428-D730-41C6-9646-E2B63D6248F9}"/>
    <cellStyle name="Percent 5 2" xfId="162" xr:uid="{63C1C207-9B31-4FD3-8D7A-6C4F81866D84}"/>
  </cellStyles>
  <dxfs count="0"/>
  <tableStyles count="0" defaultTableStyle="TableStyleMedium2" defaultPivotStyle="PivotStyleLight16"/>
  <colors>
    <mruColors>
      <color rgb="FFEFECF4"/>
      <color rgb="FFE2F2F6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84" Type="http://schemas.openxmlformats.org/officeDocument/2006/relationships/externalLink" Target="externalLinks/externalLink20.xml"/><Relationship Id="rId89" Type="http://schemas.openxmlformats.org/officeDocument/2006/relationships/externalLink" Target="externalLinks/externalLink25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0.xml"/><Relationship Id="rId79" Type="http://schemas.openxmlformats.org/officeDocument/2006/relationships/externalLink" Target="externalLinks/externalLink15.xml"/><Relationship Id="rId102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6.xml"/><Relationship Id="rId95" Type="http://schemas.openxmlformats.org/officeDocument/2006/relationships/externalLink" Target="externalLinks/externalLink3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5.xml"/><Relationship Id="rId80" Type="http://schemas.openxmlformats.org/officeDocument/2006/relationships/externalLink" Target="externalLinks/externalLink16.xml"/><Relationship Id="rId85" Type="http://schemas.openxmlformats.org/officeDocument/2006/relationships/externalLink" Target="externalLinks/externalLink2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39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6.xml"/><Relationship Id="rId75" Type="http://schemas.openxmlformats.org/officeDocument/2006/relationships/externalLink" Target="externalLinks/externalLink11.xml"/><Relationship Id="rId91" Type="http://schemas.openxmlformats.org/officeDocument/2006/relationships/externalLink" Target="externalLinks/externalLink27.xml"/><Relationship Id="rId96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73" Type="http://schemas.openxmlformats.org/officeDocument/2006/relationships/externalLink" Target="externalLinks/externalLink9.xml"/><Relationship Id="rId78" Type="http://schemas.openxmlformats.org/officeDocument/2006/relationships/externalLink" Target="externalLinks/externalLink14.xml"/><Relationship Id="rId81" Type="http://schemas.openxmlformats.org/officeDocument/2006/relationships/externalLink" Target="externalLinks/externalLink17.xml"/><Relationship Id="rId86" Type="http://schemas.openxmlformats.org/officeDocument/2006/relationships/externalLink" Target="externalLinks/externalLink22.xml"/><Relationship Id="rId94" Type="http://schemas.openxmlformats.org/officeDocument/2006/relationships/externalLink" Target="externalLinks/externalLink30.xml"/><Relationship Id="rId99" Type="http://schemas.openxmlformats.org/officeDocument/2006/relationships/externalLink" Target="externalLinks/externalLink35.xml"/><Relationship Id="rId101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2.xml"/><Relationship Id="rId97" Type="http://schemas.openxmlformats.org/officeDocument/2006/relationships/externalLink" Target="externalLinks/externalLink33.xml"/><Relationship Id="rId104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7.xml"/><Relationship Id="rId92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2.xml"/><Relationship Id="rId87" Type="http://schemas.openxmlformats.org/officeDocument/2006/relationships/externalLink" Target="externalLinks/externalLink23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13.xml"/><Relationship Id="rId100" Type="http://schemas.openxmlformats.org/officeDocument/2006/relationships/externalLink" Target="externalLinks/externalLink36.xml"/><Relationship Id="rId105" Type="http://schemas.openxmlformats.org/officeDocument/2006/relationships/externalLink" Target="externalLinks/externalLink4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8.xml"/><Relationship Id="rId93" Type="http://schemas.openxmlformats.org/officeDocument/2006/relationships/externalLink" Target="externalLinks/externalLink29.xml"/><Relationship Id="rId98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19.xml"/><Relationship Id="rId88" Type="http://schemas.openxmlformats.org/officeDocument/2006/relationships/externalLink" Target="externalLinks/externalLink2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Discrete Density (pmf</a:t>
            </a:r>
            <a:r>
              <a:rPr lang="en-US" baseline="0"/>
              <a:t> or pdf)</a:t>
            </a:r>
            <a:endParaRPr lang="en-US"/>
          </a:p>
        </c:rich>
      </c:tx>
      <c:layout>
        <c:manualLayout>
          <c:xMode val="edge"/>
          <c:yMode val="edge"/>
          <c:x val="0.2231591717701954"/>
          <c:y val="2.509220438354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497266250809558"/>
          <c:w val="0.8573777354778237"/>
          <c:h val="0.794386951631046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val>
            <c:numRef>
              <c:f>[40]pdf_CDF_source!$Q$7:$Q$17</c:f>
              <c:numCache>
                <c:formatCode>General</c:formatCode>
                <c:ptCount val="11"/>
                <c:pt idx="0">
                  <c:v>8.0854237276580096E-4</c:v>
                </c:pt>
                <c:pt idx="1">
                  <c:v>5.02747501014633E-3</c:v>
                </c:pt>
                <c:pt idx="2">
                  <c:v>2.4082225974528092E-2</c:v>
                </c:pt>
                <c:pt idx="3">
                  <c:v>8.342771141175806E-2</c:v>
                </c:pt>
                <c:pt idx="4">
                  <c:v>0.18603420705610416</c:v>
                </c:pt>
                <c:pt idx="5">
                  <c:v>0.20050353427157891</c:v>
                </c:pt>
                <c:pt idx="6">
                  <c:v>0.20050353427157891</c:v>
                </c:pt>
                <c:pt idx="7">
                  <c:v>0.18603420705610416</c:v>
                </c:pt>
                <c:pt idx="8">
                  <c:v>8.342771141175806E-2</c:v>
                </c:pt>
                <c:pt idx="9">
                  <c:v>2.4082225974528092E-2</c:v>
                </c:pt>
                <c:pt idx="10">
                  <c:v>5.02747501014633E-3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9-407A-A006-B631094F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30656"/>
        <c:axId val="1"/>
      </c:barChart>
      <c:catAx>
        <c:axId val="1040130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30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Distribution Function (CDF)</a:t>
            </a:r>
          </a:p>
        </c:rich>
      </c:tx>
      <c:layout>
        <c:manualLayout>
          <c:xMode val="edge"/>
          <c:yMode val="edge"/>
          <c:x val="0.14439031787693205"/>
          <c:y val="3.1724443535467157E-3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26350245499447E-2"/>
          <c:y val="0.22969424276510891"/>
          <c:w val="0.84222253468316466"/>
          <c:h val="0.706903568872072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val>
            <c:numRef>
              <c:f>[40]pdf_CDF_source!$R$7:$R$17</c:f>
              <c:numCache>
                <c:formatCode>General</c:formatCode>
                <c:ptCount val="11"/>
                <c:pt idx="0">
                  <c:v>9.2484599075630738E-4</c:v>
                </c:pt>
                <c:pt idx="1">
                  <c:v>5.9523210009026373E-3</c:v>
                </c:pt>
                <c:pt idx="2">
                  <c:v>3.0034546975430731E-2</c:v>
                </c:pt>
                <c:pt idx="3">
                  <c:v>0.11346225838718879</c:v>
                </c:pt>
                <c:pt idx="4">
                  <c:v>0.29949646544329295</c:v>
                </c:pt>
                <c:pt idx="5">
                  <c:v>0.49999999971487186</c:v>
                </c:pt>
                <c:pt idx="6">
                  <c:v>0.70050353398645071</c:v>
                </c:pt>
                <c:pt idx="7">
                  <c:v>0.88653774104255489</c:v>
                </c:pt>
                <c:pt idx="8">
                  <c:v>0.96996545245431298</c:v>
                </c:pt>
                <c:pt idx="9">
                  <c:v>0.99404767842884112</c:v>
                </c:pt>
                <c:pt idx="10">
                  <c:v>0.99907515343898745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F-450D-9873-9530EA12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32952"/>
        <c:axId val="1"/>
      </c:barChart>
      <c:catAx>
        <c:axId val="1040132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3295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Continuous density (pdf) </a:t>
            </a:r>
          </a:p>
        </c:rich>
      </c:tx>
      <c:layout>
        <c:manualLayout>
          <c:xMode val="edge"/>
          <c:yMode val="edge"/>
          <c:x val="0.25545406824146982"/>
          <c:y val="2.3470852551198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5615206463793341"/>
          <c:w val="0.86885315449951628"/>
          <c:h val="0.708047403687481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[40]pdf_CDF_source!$B$1</c:f>
              <c:strCache>
                <c:ptCount val="1"/>
                <c:pt idx="0">
                  <c:v>Continuous Density</c:v>
                </c:pt>
              </c:strCache>
            </c:strRef>
          </c:tx>
          <c:spPr>
            <a:ln w="635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[40]pdf_CDF_source!$A$2:$A$32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[40]pdf_CDF_source!$B$2:$B$32</c:f>
              <c:numCache>
                <c:formatCode>General</c:formatCode>
                <c:ptCount val="31"/>
                <c:pt idx="0">
                  <c:v>0</c:v>
                </c:pt>
                <c:pt idx="1">
                  <c:v>2.4535489222344204E-8</c:v>
                </c:pt>
                <c:pt idx="2">
                  <c:v>6.4496333775826938E-6</c:v>
                </c:pt>
                <c:pt idx="3">
                  <c:v>1.2729950216259868E-4</c:v>
                </c:pt>
                <c:pt idx="4">
                  <c:v>8.704537089159511E-4</c:v>
                </c:pt>
                <c:pt idx="5">
                  <c:v>3.329707946500639E-3</c:v>
                </c:pt>
                <c:pt idx="6">
                  <c:v>8.8207944607001949E-3</c:v>
                </c:pt>
                <c:pt idx="7">
                  <c:v>1.8134231453449817E-2</c:v>
                </c:pt>
                <c:pt idx="8">
                  <c:v>3.096684944648613E-2</c:v>
                </c:pt>
                <c:pt idx="9">
                  <c:v>4.5892326013708594E-2</c:v>
                </c:pt>
                <c:pt idx="10">
                  <c:v>6.0817397315459876E-2</c:v>
                </c:pt>
                <c:pt idx="11">
                  <c:v>7.3626192565267423E-2</c:v>
                </c:pt>
                <c:pt idx="12">
                  <c:v>8.2717944859613007E-2</c:v>
                </c:pt>
                <c:pt idx="13">
                  <c:v>8.7282873896791971E-2</c:v>
                </c:pt>
                <c:pt idx="14">
                  <c:v>8.7309506455453295E-2</c:v>
                </c:pt>
                <c:pt idx="15">
                  <c:v>8.3406690480755524E-2</c:v>
                </c:pt>
                <c:pt idx="16">
                  <c:v>7.6547277104200603E-2</c:v>
                </c:pt>
                <c:pt idx="17">
                  <c:v>6.7820430271393631E-2</c:v>
                </c:pt>
                <c:pt idx="18">
                  <c:v>5.8242919935366289E-2</c:v>
                </c:pt>
                <c:pt idx="19">
                  <c:v>4.8645575727826372E-2</c:v>
                </c:pt>
                <c:pt idx="20">
                  <c:v>3.962791707298155E-2</c:v>
                </c:pt>
                <c:pt idx="21">
                  <c:v>3.1562782494926535E-2</c:v>
                </c:pt>
                <c:pt idx="22">
                  <c:v>2.4630663029922364E-2</c:v>
                </c:pt>
                <c:pt idx="23">
                  <c:v>1.8866565377597469E-2</c:v>
                </c:pt>
                <c:pt idx="24">
                  <c:v>1.4207374928538042E-2</c:v>
                </c:pt>
                <c:pt idx="25">
                  <c:v>1.0532781854473146E-2</c:v>
                </c:pt>
                <c:pt idx="26">
                  <c:v>7.6968582543295444E-3</c:v>
                </c:pt>
                <c:pt idx="27">
                  <c:v>5.5500587420638766E-3</c:v>
                </c:pt>
                <c:pt idx="28">
                  <c:v>3.9529045694650074E-3</c:v>
                </c:pt>
                <c:pt idx="29">
                  <c:v>2.7832125508919715E-3</c:v>
                </c:pt>
                <c:pt idx="30">
                  <c:v>1.9387688394483784E-3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80-4393-8740-0A5CE397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26064"/>
        <c:axId val="1"/>
      </c:scatterChart>
      <c:valAx>
        <c:axId val="1040126064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26064"/>
        <c:crossesAt val="0"/>
        <c:crossBetween val="midCat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Distribution Function</a:t>
            </a:r>
            <a:r>
              <a:rPr lang="en-US" baseline="0"/>
              <a:t> (CDF)</a:t>
            </a:r>
            <a:endParaRPr lang="en-US"/>
          </a:p>
        </c:rich>
      </c:tx>
      <c:layout>
        <c:manualLayout>
          <c:xMode val="edge"/>
          <c:yMode val="edge"/>
          <c:x val="0.18589816272965881"/>
          <c:y val="1.8218111085628861E-3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3011456628475E-2"/>
          <c:y val="0.21186681911718649"/>
          <c:w val="0.86415711947626839"/>
          <c:h val="0.6575926677006670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[40]pdf_CDF_source!$C$1</c:f>
              <c:strCache>
                <c:ptCount val="1"/>
                <c:pt idx="0">
                  <c:v>Continuous Distribution</c:v>
                </c:pt>
              </c:strCache>
            </c:strRef>
          </c:tx>
          <c:spPr>
            <a:ln w="635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[40]pdf_CDF_source!$A$2:$A$32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[40]pdf_CDF_source!$C$2:$C$32</c:f>
              <c:numCache>
                <c:formatCode>General</c:formatCode>
                <c:ptCount val="31"/>
                <c:pt idx="0">
                  <c:v>0</c:v>
                </c:pt>
                <c:pt idx="1">
                  <c:v>2.6109547200660668E-9</c:v>
                </c:pt>
                <c:pt idx="2">
                  <c:v>1.4656221392412879E-6</c:v>
                </c:pt>
                <c:pt idx="3">
                  <c:v>4.6498075017263846E-5</c:v>
                </c:pt>
                <c:pt idx="4">
                  <c:v>4.5608289115746479E-4</c:v>
                </c:pt>
                <c:pt idx="5">
                  <c:v>2.3563754242865611E-3</c:v>
                </c:pt>
                <c:pt idx="6">
                  <c:v>8.1322427969338622E-3</c:v>
                </c:pt>
                <c:pt idx="7">
                  <c:v>2.1285044984054955E-2</c:v>
                </c:pt>
                <c:pt idx="8">
                  <c:v>4.5586938894922227E-2</c:v>
                </c:pt>
                <c:pt idx="9">
                  <c:v>8.3924016994875839E-2</c:v>
                </c:pt>
                <c:pt idx="10">
                  <c:v>0.13737153273576747</c:v>
                </c:pt>
                <c:pt idx="11">
                  <c:v>0.20484728416449902</c:v>
                </c:pt>
                <c:pt idx="12">
                  <c:v>0.28337574127298903</c:v>
                </c:pt>
                <c:pt idx="13">
                  <c:v>0.36876511376337268</c:v>
                </c:pt>
                <c:pt idx="14">
                  <c:v>0.45642173259342217</c:v>
                </c:pt>
                <c:pt idx="15">
                  <c:v>0.54207028552814773</c:v>
                </c:pt>
                <c:pt idx="16">
                  <c:v>0.62224837395442667</c:v>
                </c:pt>
                <c:pt idx="17">
                  <c:v>0.69454327041788666</c:v>
                </c:pt>
                <c:pt idx="18">
                  <c:v>0.75760783832948764</c:v>
                </c:pt>
                <c:pt idx="19">
                  <c:v>0.81102513553299405</c:v>
                </c:pt>
                <c:pt idx="20">
                  <c:v>0.85509477552184698</c:v>
                </c:pt>
                <c:pt idx="21">
                  <c:v>0.890600630357261</c:v>
                </c:pt>
                <c:pt idx="22">
                  <c:v>0.91859962830350472</c:v>
                </c:pt>
                <c:pt idx="23">
                  <c:v>0.94025237792000804</c:v>
                </c:pt>
                <c:pt idx="24">
                  <c:v>0.95670168405813416</c:v>
                </c:pt>
                <c:pt idx="25">
                  <c:v>0.96899559859005846</c:v>
                </c:pt>
                <c:pt idx="26">
                  <c:v>0.97804683334194964</c:v>
                </c:pt>
                <c:pt idx="27">
                  <c:v>0.98461890273941077</c:v>
                </c:pt>
                <c:pt idx="28">
                  <c:v>0.98932996779992688</c:v>
                </c:pt>
                <c:pt idx="29">
                  <c:v>0.99266697360646439</c:v>
                </c:pt>
                <c:pt idx="30">
                  <c:v>0.99500458769169242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63-48AE-B3EC-B7C14BFB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28360"/>
        <c:axId val="1"/>
      </c:scatterChart>
      <c:valAx>
        <c:axId val="1040128360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28360"/>
        <c:crossesAt val="0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Three Types of Managers </a:t>
            </a:r>
          </a:p>
          <a:p>
            <a:pPr>
              <a:defRPr b="1"/>
            </a:pPr>
            <a:r>
              <a:rPr lang="en-US" b="1"/>
              <a:t>and Their % Beating</a:t>
            </a:r>
            <a:r>
              <a:rPr lang="en-US" b="1" baseline="0"/>
              <a:t> the Market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8.0555555555555658E-2"/>
                  <c:y val="0.1203703703703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BA-455B-A001-EEE6016F1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'20.2.3'!$AA$8:$AA$10</c:f>
              <c:strCache>
                <c:ptCount val="3"/>
                <c:pt idx="0">
                  <c:v>Outperformers</c:v>
                </c:pt>
                <c:pt idx="1">
                  <c:v>In-line</c:v>
                </c:pt>
                <c:pt idx="2">
                  <c:v>Underperformers</c:v>
                </c:pt>
              </c:strCache>
            </c:strRef>
          </c:cat>
          <c:val>
            <c:numRef>
              <c:f>'20.2.3'!$AB$8:$AB$10</c:f>
              <c:numCache>
                <c:formatCode>0%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A-455B-A001-EEE6016F1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8926280"/>
        <c:axId val="1108928904"/>
      </c:barChart>
      <c:lineChart>
        <c:grouping val="standard"/>
        <c:varyColors val="0"/>
        <c:ser>
          <c:idx val="1"/>
          <c:order val="1"/>
          <c:spPr>
            <a:ln w="50800" cap="rnd">
              <a:gradFill flip="none" rotWithShape="1">
                <a:gsLst>
                  <a:gs pos="35000">
                    <a:schemeClr val="accent3">
                      <a:lumMod val="50000"/>
                    </a:schemeClr>
                  </a:gs>
                  <a:gs pos="100000">
                    <a:srgbClr val="FF0000"/>
                  </a:gs>
                </a:gsLst>
                <a:lin ang="2700000" scaled="1"/>
                <a:tileRect/>
              </a:gradFill>
              <a:prstDash val="sysDot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1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0.10833333333333334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A-455B-A001-EEE6016F13D8}"/>
                </c:ext>
              </c:extLst>
            </c:dLbl>
            <c:dLbl>
              <c:idx val="2"/>
              <c:layout>
                <c:manualLayout>
                  <c:x val="6.6666666666666458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A-455B-A001-EEE6016F1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'20.2.3'!$AA$8:$AA$10</c:f>
              <c:strCache>
                <c:ptCount val="3"/>
                <c:pt idx="0">
                  <c:v>Outperformers</c:v>
                </c:pt>
                <c:pt idx="1">
                  <c:v>In-line</c:v>
                </c:pt>
                <c:pt idx="2">
                  <c:v>Underperformers</c:v>
                </c:pt>
              </c:strCache>
            </c:strRef>
          </c:cat>
          <c:val>
            <c:numRef>
              <c:f>'20.2.3'!$AC$8:$AC$10</c:f>
              <c:numCache>
                <c:formatCode>0%</c:formatCode>
                <c:ptCount val="3"/>
                <c:pt idx="0">
                  <c:v>0.75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BA-455B-A001-EEE6016F1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926280"/>
        <c:axId val="1108928904"/>
      </c:lineChart>
      <c:catAx>
        <c:axId val="110892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928904"/>
        <c:crosses val="autoZero"/>
        <c:auto val="1"/>
        <c:lblAlgn val="ctr"/>
        <c:lblOffset val="100"/>
        <c:noMultiLvlLbl val="0"/>
      </c:catAx>
      <c:valAx>
        <c:axId val="1108928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92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Discrete Density (pmf</a:t>
            </a:r>
            <a:r>
              <a:rPr lang="en-US" baseline="0"/>
              <a:t> or pdf)</a:t>
            </a:r>
            <a:endParaRPr lang="en-US"/>
          </a:p>
        </c:rich>
      </c:tx>
      <c:layout>
        <c:manualLayout>
          <c:xMode val="edge"/>
          <c:yMode val="edge"/>
          <c:x val="0.2231591717701954"/>
          <c:y val="2.509220438354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497266250809558"/>
          <c:w val="0.8573777354778237"/>
          <c:h val="0.794386951631046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val>
            <c:numRef>
              <c:f>[40]pdf_CDF_source!$Q$7:$Q$17</c:f>
              <c:numCache>
                <c:formatCode>General</c:formatCode>
                <c:ptCount val="11"/>
                <c:pt idx="0">
                  <c:v>8.0854237276580096E-4</c:v>
                </c:pt>
                <c:pt idx="1">
                  <c:v>5.02747501014633E-3</c:v>
                </c:pt>
                <c:pt idx="2">
                  <c:v>2.4082225974528092E-2</c:v>
                </c:pt>
                <c:pt idx="3">
                  <c:v>8.342771141175806E-2</c:v>
                </c:pt>
                <c:pt idx="4">
                  <c:v>0.18603420705610416</c:v>
                </c:pt>
                <c:pt idx="5">
                  <c:v>0.20050353427157891</c:v>
                </c:pt>
                <c:pt idx="6">
                  <c:v>0.20050353427157891</c:v>
                </c:pt>
                <c:pt idx="7">
                  <c:v>0.18603420705610416</c:v>
                </c:pt>
                <c:pt idx="8">
                  <c:v>8.342771141175806E-2</c:v>
                </c:pt>
                <c:pt idx="9">
                  <c:v>2.4082225974528092E-2</c:v>
                </c:pt>
                <c:pt idx="10">
                  <c:v>5.02747501014633E-3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6-4D9A-9810-014DE34C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30656"/>
        <c:axId val="1"/>
      </c:barChart>
      <c:catAx>
        <c:axId val="1040130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30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Distribution Function (CDF)</a:t>
            </a:r>
          </a:p>
        </c:rich>
      </c:tx>
      <c:layout>
        <c:manualLayout>
          <c:xMode val="edge"/>
          <c:yMode val="edge"/>
          <c:x val="0.14439031787693205"/>
          <c:y val="3.1724443535467157E-3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26350245499447E-2"/>
          <c:y val="0.22969424276510891"/>
          <c:w val="0.84222253468316466"/>
          <c:h val="0.706903568872072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val>
            <c:numRef>
              <c:f>[40]pdf_CDF_source!$R$7:$R$17</c:f>
              <c:numCache>
                <c:formatCode>General</c:formatCode>
                <c:ptCount val="11"/>
                <c:pt idx="0">
                  <c:v>9.2484599075630738E-4</c:v>
                </c:pt>
                <c:pt idx="1">
                  <c:v>5.9523210009026373E-3</c:v>
                </c:pt>
                <c:pt idx="2">
                  <c:v>3.0034546975430731E-2</c:v>
                </c:pt>
                <c:pt idx="3">
                  <c:v>0.11346225838718879</c:v>
                </c:pt>
                <c:pt idx="4">
                  <c:v>0.29949646544329295</c:v>
                </c:pt>
                <c:pt idx="5">
                  <c:v>0.49999999971487186</c:v>
                </c:pt>
                <c:pt idx="6">
                  <c:v>0.70050353398645071</c:v>
                </c:pt>
                <c:pt idx="7">
                  <c:v>0.88653774104255489</c:v>
                </c:pt>
                <c:pt idx="8">
                  <c:v>0.96996545245431298</c:v>
                </c:pt>
                <c:pt idx="9">
                  <c:v>0.99404767842884112</c:v>
                </c:pt>
                <c:pt idx="10">
                  <c:v>0.99907515343898745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C-4636-AD36-88E745D81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32952"/>
        <c:axId val="1"/>
      </c:barChart>
      <c:catAx>
        <c:axId val="1040132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3295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Continuous density (pdf) </a:t>
            </a:r>
          </a:p>
        </c:rich>
      </c:tx>
      <c:layout>
        <c:manualLayout>
          <c:xMode val="edge"/>
          <c:yMode val="edge"/>
          <c:x val="0.25545406824146982"/>
          <c:y val="2.3470852551198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5615206463793341"/>
          <c:w val="0.86885315449951628"/>
          <c:h val="0.708047403687481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[40]pdf_CDF_source!$B$1</c:f>
              <c:strCache>
                <c:ptCount val="1"/>
                <c:pt idx="0">
                  <c:v>Continuous Density</c:v>
                </c:pt>
              </c:strCache>
            </c:strRef>
          </c:tx>
          <c:spPr>
            <a:ln w="635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[40]pdf_CDF_source!$A$2:$A$32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[40]pdf_CDF_source!$B$2:$B$32</c:f>
              <c:numCache>
                <c:formatCode>General</c:formatCode>
                <c:ptCount val="31"/>
                <c:pt idx="0">
                  <c:v>0</c:v>
                </c:pt>
                <c:pt idx="1">
                  <c:v>2.4535489222344204E-8</c:v>
                </c:pt>
                <c:pt idx="2">
                  <c:v>6.4496333775826938E-6</c:v>
                </c:pt>
                <c:pt idx="3">
                  <c:v>1.2729950216259868E-4</c:v>
                </c:pt>
                <c:pt idx="4">
                  <c:v>8.704537089159511E-4</c:v>
                </c:pt>
                <c:pt idx="5">
                  <c:v>3.329707946500639E-3</c:v>
                </c:pt>
                <c:pt idx="6">
                  <c:v>8.8207944607001949E-3</c:v>
                </c:pt>
                <c:pt idx="7">
                  <c:v>1.8134231453449817E-2</c:v>
                </c:pt>
                <c:pt idx="8">
                  <c:v>3.096684944648613E-2</c:v>
                </c:pt>
                <c:pt idx="9">
                  <c:v>4.5892326013708594E-2</c:v>
                </c:pt>
                <c:pt idx="10">
                  <c:v>6.0817397315459876E-2</c:v>
                </c:pt>
                <c:pt idx="11">
                  <c:v>7.3626192565267423E-2</c:v>
                </c:pt>
                <c:pt idx="12">
                  <c:v>8.2717944859613007E-2</c:v>
                </c:pt>
                <c:pt idx="13">
                  <c:v>8.7282873896791971E-2</c:v>
                </c:pt>
                <c:pt idx="14">
                  <c:v>8.7309506455453295E-2</c:v>
                </c:pt>
                <c:pt idx="15">
                  <c:v>8.3406690480755524E-2</c:v>
                </c:pt>
                <c:pt idx="16">
                  <c:v>7.6547277104200603E-2</c:v>
                </c:pt>
                <c:pt idx="17">
                  <c:v>6.7820430271393631E-2</c:v>
                </c:pt>
                <c:pt idx="18">
                  <c:v>5.8242919935366289E-2</c:v>
                </c:pt>
                <c:pt idx="19">
                  <c:v>4.8645575727826372E-2</c:v>
                </c:pt>
                <c:pt idx="20">
                  <c:v>3.962791707298155E-2</c:v>
                </c:pt>
                <c:pt idx="21">
                  <c:v>3.1562782494926535E-2</c:v>
                </c:pt>
                <c:pt idx="22">
                  <c:v>2.4630663029922364E-2</c:v>
                </c:pt>
                <c:pt idx="23">
                  <c:v>1.8866565377597469E-2</c:v>
                </c:pt>
                <c:pt idx="24">
                  <c:v>1.4207374928538042E-2</c:v>
                </c:pt>
                <c:pt idx="25">
                  <c:v>1.0532781854473146E-2</c:v>
                </c:pt>
                <c:pt idx="26">
                  <c:v>7.6968582543295444E-3</c:v>
                </c:pt>
                <c:pt idx="27">
                  <c:v>5.5500587420638766E-3</c:v>
                </c:pt>
                <c:pt idx="28">
                  <c:v>3.9529045694650074E-3</c:v>
                </c:pt>
                <c:pt idx="29">
                  <c:v>2.7832125508919715E-3</c:v>
                </c:pt>
                <c:pt idx="30">
                  <c:v>1.9387688394483784E-3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CF-4049-A852-ACD696E2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26064"/>
        <c:axId val="1"/>
      </c:scatterChart>
      <c:valAx>
        <c:axId val="1040126064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26064"/>
        <c:crossesAt val="0"/>
        <c:crossBetween val="midCat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Distribution Function</a:t>
            </a:r>
            <a:r>
              <a:rPr lang="en-US" baseline="0"/>
              <a:t> (CDF)</a:t>
            </a:r>
            <a:endParaRPr lang="en-US"/>
          </a:p>
        </c:rich>
      </c:tx>
      <c:layout>
        <c:manualLayout>
          <c:xMode val="edge"/>
          <c:yMode val="edge"/>
          <c:x val="0.18589816272965881"/>
          <c:y val="1.8218111085628861E-3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3011456628475E-2"/>
          <c:y val="0.21186681911718649"/>
          <c:w val="0.86415711947626839"/>
          <c:h val="0.6575926677006670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[40]pdf_CDF_source!$C$1</c:f>
              <c:strCache>
                <c:ptCount val="1"/>
                <c:pt idx="0">
                  <c:v>Continuous Distribution</c:v>
                </c:pt>
              </c:strCache>
            </c:strRef>
          </c:tx>
          <c:spPr>
            <a:ln w="635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[40]pdf_CDF_source!$A$2:$A$32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[40]pdf_CDF_source!$C$2:$C$32</c:f>
              <c:numCache>
                <c:formatCode>General</c:formatCode>
                <c:ptCount val="31"/>
                <c:pt idx="0">
                  <c:v>0</c:v>
                </c:pt>
                <c:pt idx="1">
                  <c:v>2.6109547200660668E-9</c:v>
                </c:pt>
                <c:pt idx="2">
                  <c:v>1.4656221392412879E-6</c:v>
                </c:pt>
                <c:pt idx="3">
                  <c:v>4.6498075017263846E-5</c:v>
                </c:pt>
                <c:pt idx="4">
                  <c:v>4.5608289115746479E-4</c:v>
                </c:pt>
                <c:pt idx="5">
                  <c:v>2.3563754242865611E-3</c:v>
                </c:pt>
                <c:pt idx="6">
                  <c:v>8.1322427969338622E-3</c:v>
                </c:pt>
                <c:pt idx="7">
                  <c:v>2.1285044984054955E-2</c:v>
                </c:pt>
                <c:pt idx="8">
                  <c:v>4.5586938894922227E-2</c:v>
                </c:pt>
                <c:pt idx="9">
                  <c:v>8.3924016994875839E-2</c:v>
                </c:pt>
                <c:pt idx="10">
                  <c:v>0.13737153273576747</c:v>
                </c:pt>
                <c:pt idx="11">
                  <c:v>0.20484728416449902</c:v>
                </c:pt>
                <c:pt idx="12">
                  <c:v>0.28337574127298903</c:v>
                </c:pt>
                <c:pt idx="13">
                  <c:v>0.36876511376337268</c:v>
                </c:pt>
                <c:pt idx="14">
                  <c:v>0.45642173259342217</c:v>
                </c:pt>
                <c:pt idx="15">
                  <c:v>0.54207028552814773</c:v>
                </c:pt>
                <c:pt idx="16">
                  <c:v>0.62224837395442667</c:v>
                </c:pt>
                <c:pt idx="17">
                  <c:v>0.69454327041788666</c:v>
                </c:pt>
                <c:pt idx="18">
                  <c:v>0.75760783832948764</c:v>
                </c:pt>
                <c:pt idx="19">
                  <c:v>0.81102513553299405</c:v>
                </c:pt>
                <c:pt idx="20">
                  <c:v>0.85509477552184698</c:v>
                </c:pt>
                <c:pt idx="21">
                  <c:v>0.890600630357261</c:v>
                </c:pt>
                <c:pt idx="22">
                  <c:v>0.91859962830350472</c:v>
                </c:pt>
                <c:pt idx="23">
                  <c:v>0.94025237792000804</c:v>
                </c:pt>
                <c:pt idx="24">
                  <c:v>0.95670168405813416</c:v>
                </c:pt>
                <c:pt idx="25">
                  <c:v>0.96899559859005846</c:v>
                </c:pt>
                <c:pt idx="26">
                  <c:v>0.97804683334194964</c:v>
                </c:pt>
                <c:pt idx="27">
                  <c:v>0.98461890273941077</c:v>
                </c:pt>
                <c:pt idx="28">
                  <c:v>0.98932996779992688</c:v>
                </c:pt>
                <c:pt idx="29">
                  <c:v>0.99266697360646439</c:v>
                </c:pt>
                <c:pt idx="30">
                  <c:v>0.99500458769169242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4E-41A7-8E17-F8710737C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28360"/>
        <c:axId val="1"/>
      </c:scatterChart>
      <c:valAx>
        <c:axId val="1040128360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28360"/>
        <c:crossesAt val="0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Discrete Density (pmf</a:t>
            </a:r>
            <a:r>
              <a:rPr lang="en-US" baseline="0"/>
              <a:t> or pdf)</a:t>
            </a:r>
            <a:endParaRPr lang="en-US"/>
          </a:p>
        </c:rich>
      </c:tx>
      <c:layout>
        <c:manualLayout>
          <c:xMode val="edge"/>
          <c:yMode val="edge"/>
          <c:x val="0.2231591717701954"/>
          <c:y val="2.509220438354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497266250809558"/>
          <c:w val="0.8573777354778237"/>
          <c:h val="0.794386951631046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val>
            <c:numRef>
              <c:f>[40]pdf_CDF_source!$Q$7:$Q$17</c:f>
              <c:numCache>
                <c:formatCode>General</c:formatCode>
                <c:ptCount val="11"/>
                <c:pt idx="0">
                  <c:v>8.0854237276580096E-4</c:v>
                </c:pt>
                <c:pt idx="1">
                  <c:v>5.02747501014633E-3</c:v>
                </c:pt>
                <c:pt idx="2">
                  <c:v>2.4082225974528092E-2</c:v>
                </c:pt>
                <c:pt idx="3">
                  <c:v>8.342771141175806E-2</c:v>
                </c:pt>
                <c:pt idx="4">
                  <c:v>0.18603420705610416</c:v>
                </c:pt>
                <c:pt idx="5">
                  <c:v>0.20050353427157891</c:v>
                </c:pt>
                <c:pt idx="6">
                  <c:v>0.20050353427157891</c:v>
                </c:pt>
                <c:pt idx="7">
                  <c:v>0.18603420705610416</c:v>
                </c:pt>
                <c:pt idx="8">
                  <c:v>8.342771141175806E-2</c:v>
                </c:pt>
                <c:pt idx="9">
                  <c:v>2.4082225974528092E-2</c:v>
                </c:pt>
                <c:pt idx="10">
                  <c:v>5.02747501014633E-3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8-4D78-BE73-C7ABAD6A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30656"/>
        <c:axId val="1"/>
      </c:barChart>
      <c:catAx>
        <c:axId val="1040130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30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Distribution Function (CDF)</a:t>
            </a:r>
          </a:p>
        </c:rich>
      </c:tx>
      <c:layout>
        <c:manualLayout>
          <c:xMode val="edge"/>
          <c:yMode val="edge"/>
          <c:x val="0.14439031787693205"/>
          <c:y val="3.1724443535467157E-3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26350245499447E-2"/>
          <c:y val="0.22969424276510891"/>
          <c:w val="0.84222253468316466"/>
          <c:h val="0.706903568872072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val>
            <c:numRef>
              <c:f>[40]pdf_CDF_source!$R$7:$R$17</c:f>
              <c:numCache>
                <c:formatCode>General</c:formatCode>
                <c:ptCount val="11"/>
                <c:pt idx="0">
                  <c:v>9.2484599075630738E-4</c:v>
                </c:pt>
                <c:pt idx="1">
                  <c:v>5.9523210009026373E-3</c:v>
                </c:pt>
                <c:pt idx="2">
                  <c:v>3.0034546975430731E-2</c:v>
                </c:pt>
                <c:pt idx="3">
                  <c:v>0.11346225838718879</c:v>
                </c:pt>
                <c:pt idx="4">
                  <c:v>0.29949646544329295</c:v>
                </c:pt>
                <c:pt idx="5">
                  <c:v>0.49999999971487186</c:v>
                </c:pt>
                <c:pt idx="6">
                  <c:v>0.70050353398645071</c:v>
                </c:pt>
                <c:pt idx="7">
                  <c:v>0.88653774104255489</c:v>
                </c:pt>
                <c:pt idx="8">
                  <c:v>0.96996545245431298</c:v>
                </c:pt>
                <c:pt idx="9">
                  <c:v>0.99404767842884112</c:v>
                </c:pt>
                <c:pt idx="10">
                  <c:v>0.99907515343898745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C24-B6A1-C65296E32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32952"/>
        <c:axId val="1"/>
      </c:barChart>
      <c:catAx>
        <c:axId val="1040132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3295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Continuous density (pdf) </a:t>
            </a:r>
          </a:p>
        </c:rich>
      </c:tx>
      <c:layout>
        <c:manualLayout>
          <c:xMode val="edge"/>
          <c:yMode val="edge"/>
          <c:x val="0.25545406824146982"/>
          <c:y val="2.3470852551198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5615206463793341"/>
          <c:w val="0.86885315449951628"/>
          <c:h val="0.708047403687481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[40]pdf_CDF_source!$B$1</c:f>
              <c:strCache>
                <c:ptCount val="1"/>
                <c:pt idx="0">
                  <c:v>Continuous Density</c:v>
                </c:pt>
              </c:strCache>
            </c:strRef>
          </c:tx>
          <c:spPr>
            <a:ln w="635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[40]pdf_CDF_source!$A$2:$A$32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[40]pdf_CDF_source!$B$2:$B$32</c:f>
              <c:numCache>
                <c:formatCode>General</c:formatCode>
                <c:ptCount val="31"/>
                <c:pt idx="0">
                  <c:v>0</c:v>
                </c:pt>
                <c:pt idx="1">
                  <c:v>2.4535489222344204E-8</c:v>
                </c:pt>
                <c:pt idx="2">
                  <c:v>6.4496333775826938E-6</c:v>
                </c:pt>
                <c:pt idx="3">
                  <c:v>1.2729950216259868E-4</c:v>
                </c:pt>
                <c:pt idx="4">
                  <c:v>8.704537089159511E-4</c:v>
                </c:pt>
                <c:pt idx="5">
                  <c:v>3.329707946500639E-3</c:v>
                </c:pt>
                <c:pt idx="6">
                  <c:v>8.8207944607001949E-3</c:v>
                </c:pt>
                <c:pt idx="7">
                  <c:v>1.8134231453449817E-2</c:v>
                </c:pt>
                <c:pt idx="8">
                  <c:v>3.096684944648613E-2</c:v>
                </c:pt>
                <c:pt idx="9">
                  <c:v>4.5892326013708594E-2</c:v>
                </c:pt>
                <c:pt idx="10">
                  <c:v>6.0817397315459876E-2</c:v>
                </c:pt>
                <c:pt idx="11">
                  <c:v>7.3626192565267423E-2</c:v>
                </c:pt>
                <c:pt idx="12">
                  <c:v>8.2717944859613007E-2</c:v>
                </c:pt>
                <c:pt idx="13">
                  <c:v>8.7282873896791971E-2</c:v>
                </c:pt>
                <c:pt idx="14">
                  <c:v>8.7309506455453295E-2</c:v>
                </c:pt>
                <c:pt idx="15">
                  <c:v>8.3406690480755524E-2</c:v>
                </c:pt>
                <c:pt idx="16">
                  <c:v>7.6547277104200603E-2</c:v>
                </c:pt>
                <c:pt idx="17">
                  <c:v>6.7820430271393631E-2</c:v>
                </c:pt>
                <c:pt idx="18">
                  <c:v>5.8242919935366289E-2</c:v>
                </c:pt>
                <c:pt idx="19">
                  <c:v>4.8645575727826372E-2</c:v>
                </c:pt>
                <c:pt idx="20">
                  <c:v>3.962791707298155E-2</c:v>
                </c:pt>
                <c:pt idx="21">
                  <c:v>3.1562782494926535E-2</c:v>
                </c:pt>
                <c:pt idx="22">
                  <c:v>2.4630663029922364E-2</c:v>
                </c:pt>
                <c:pt idx="23">
                  <c:v>1.8866565377597469E-2</c:v>
                </c:pt>
                <c:pt idx="24">
                  <c:v>1.4207374928538042E-2</c:v>
                </c:pt>
                <c:pt idx="25">
                  <c:v>1.0532781854473146E-2</c:v>
                </c:pt>
                <c:pt idx="26">
                  <c:v>7.6968582543295444E-3</c:v>
                </c:pt>
                <c:pt idx="27">
                  <c:v>5.5500587420638766E-3</c:v>
                </c:pt>
                <c:pt idx="28">
                  <c:v>3.9529045694650074E-3</c:v>
                </c:pt>
                <c:pt idx="29">
                  <c:v>2.7832125508919715E-3</c:v>
                </c:pt>
                <c:pt idx="30">
                  <c:v>1.9387688394483784E-3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91-46EC-A051-76A9796B2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26064"/>
        <c:axId val="1"/>
      </c:scatterChart>
      <c:valAx>
        <c:axId val="1040126064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26064"/>
        <c:crossesAt val="0"/>
        <c:crossBetween val="midCat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Distribution Function</a:t>
            </a:r>
            <a:r>
              <a:rPr lang="en-US" baseline="0"/>
              <a:t> (CDF)</a:t>
            </a:r>
            <a:endParaRPr lang="en-US"/>
          </a:p>
        </c:rich>
      </c:tx>
      <c:layout>
        <c:manualLayout>
          <c:xMode val="edge"/>
          <c:yMode val="edge"/>
          <c:x val="0.18589816272965881"/>
          <c:y val="1.8218111085628861E-3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3011456628475E-2"/>
          <c:y val="0.21186681911718649"/>
          <c:w val="0.86415711947626839"/>
          <c:h val="0.6575926677006670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[40]pdf_CDF_source!$C$1</c:f>
              <c:strCache>
                <c:ptCount val="1"/>
                <c:pt idx="0">
                  <c:v>Continuous Distribution</c:v>
                </c:pt>
              </c:strCache>
            </c:strRef>
          </c:tx>
          <c:spPr>
            <a:ln w="635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[40]pdf_CDF_source!$A$2:$A$32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[40]pdf_CDF_source!$C$2:$C$32</c:f>
              <c:numCache>
                <c:formatCode>General</c:formatCode>
                <c:ptCount val="31"/>
                <c:pt idx="0">
                  <c:v>0</c:v>
                </c:pt>
                <c:pt idx="1">
                  <c:v>2.6109547200660668E-9</c:v>
                </c:pt>
                <c:pt idx="2">
                  <c:v>1.4656221392412879E-6</c:v>
                </c:pt>
                <c:pt idx="3">
                  <c:v>4.6498075017263846E-5</c:v>
                </c:pt>
                <c:pt idx="4">
                  <c:v>4.5608289115746479E-4</c:v>
                </c:pt>
                <c:pt idx="5">
                  <c:v>2.3563754242865611E-3</c:v>
                </c:pt>
                <c:pt idx="6">
                  <c:v>8.1322427969338622E-3</c:v>
                </c:pt>
                <c:pt idx="7">
                  <c:v>2.1285044984054955E-2</c:v>
                </c:pt>
                <c:pt idx="8">
                  <c:v>4.5586938894922227E-2</c:v>
                </c:pt>
                <c:pt idx="9">
                  <c:v>8.3924016994875839E-2</c:v>
                </c:pt>
                <c:pt idx="10">
                  <c:v>0.13737153273576747</c:v>
                </c:pt>
                <c:pt idx="11">
                  <c:v>0.20484728416449902</c:v>
                </c:pt>
                <c:pt idx="12">
                  <c:v>0.28337574127298903</c:v>
                </c:pt>
                <c:pt idx="13">
                  <c:v>0.36876511376337268</c:v>
                </c:pt>
                <c:pt idx="14">
                  <c:v>0.45642173259342217</c:v>
                </c:pt>
                <c:pt idx="15">
                  <c:v>0.54207028552814773</c:v>
                </c:pt>
                <c:pt idx="16">
                  <c:v>0.62224837395442667</c:v>
                </c:pt>
                <c:pt idx="17">
                  <c:v>0.69454327041788666</c:v>
                </c:pt>
                <c:pt idx="18">
                  <c:v>0.75760783832948764</c:v>
                </c:pt>
                <c:pt idx="19">
                  <c:v>0.81102513553299405</c:v>
                </c:pt>
                <c:pt idx="20">
                  <c:v>0.85509477552184698</c:v>
                </c:pt>
                <c:pt idx="21">
                  <c:v>0.890600630357261</c:v>
                </c:pt>
                <c:pt idx="22">
                  <c:v>0.91859962830350472</c:v>
                </c:pt>
                <c:pt idx="23">
                  <c:v>0.94025237792000804</c:v>
                </c:pt>
                <c:pt idx="24">
                  <c:v>0.95670168405813416</c:v>
                </c:pt>
                <c:pt idx="25">
                  <c:v>0.96899559859005846</c:v>
                </c:pt>
                <c:pt idx="26">
                  <c:v>0.97804683334194964</c:v>
                </c:pt>
                <c:pt idx="27">
                  <c:v>0.98461890273941077</c:v>
                </c:pt>
                <c:pt idx="28">
                  <c:v>0.98932996779992688</c:v>
                </c:pt>
                <c:pt idx="29">
                  <c:v>0.99266697360646439</c:v>
                </c:pt>
                <c:pt idx="30">
                  <c:v>0.99500458769169242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CE-4649-93F7-AAC5221B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28360"/>
        <c:axId val="1"/>
      </c:scatterChart>
      <c:valAx>
        <c:axId val="1040128360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0128360"/>
        <c:crossesAt val="0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pdf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[41]Sheet1!$E$4:$E$24</c:f>
              <c:numCache>
                <c:formatCode>General</c:formatCode>
                <c:ptCount val="21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-2.3260000000000001</c:v>
                </c:pt>
                <c:pt idx="5">
                  <c:v>-2</c:v>
                </c:pt>
                <c:pt idx="6">
                  <c:v>-1.645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1.645</c:v>
                </c:pt>
                <c:pt idx="15">
                  <c:v>2</c:v>
                </c:pt>
                <c:pt idx="16">
                  <c:v>2.3260000000000001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</c:numCache>
            </c:numRef>
          </c:cat>
          <c:val>
            <c:numRef>
              <c:f>[41]Sheet1!$F$4:$F$24</c:f>
              <c:numCache>
                <c:formatCode>General</c:formatCode>
                <c:ptCount val="21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2.6673718259423804E-2</c:v>
                </c:pt>
                <c:pt idx="5">
                  <c:v>5.3990966513188063E-2</c:v>
                </c:pt>
                <c:pt idx="6">
                  <c:v>0.10311081109198142</c:v>
                </c:pt>
                <c:pt idx="7">
                  <c:v>0.12951759566589174</c:v>
                </c:pt>
                <c:pt idx="8">
                  <c:v>0.24197072451914337</c:v>
                </c:pt>
                <c:pt idx="9">
                  <c:v>0.35206532676429952</c:v>
                </c:pt>
                <c:pt idx="10">
                  <c:v>0.3989422804014327</c:v>
                </c:pt>
                <c:pt idx="11">
                  <c:v>0.35206532676429952</c:v>
                </c:pt>
                <c:pt idx="12">
                  <c:v>0.24197072451914337</c:v>
                </c:pt>
                <c:pt idx="13">
                  <c:v>0.12951759566589174</c:v>
                </c:pt>
                <c:pt idx="14">
                  <c:v>0.10311081109198142</c:v>
                </c:pt>
                <c:pt idx="15">
                  <c:v>5.3990966513188063E-2</c:v>
                </c:pt>
                <c:pt idx="16">
                  <c:v>2.6673718259423804E-2</c:v>
                </c:pt>
                <c:pt idx="17">
                  <c:v>1.752830049356854E-2</c:v>
                </c:pt>
                <c:pt idx="18">
                  <c:v>4.4318484119380075E-3</c:v>
                </c:pt>
                <c:pt idx="19">
                  <c:v>8.7268269504576015E-4</c:v>
                </c:pt>
                <c:pt idx="20">
                  <c:v>1.3383022576488537E-4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9-4685-8E9A-E89A34AC9A27}"/>
            </c:ext>
          </c:extLst>
        </c:ser>
        <c:ser>
          <c:idx val="1"/>
          <c:order val="1"/>
          <c:tx>
            <c:v>CDF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[41]Sheet1!$E$4:$E$24</c:f>
              <c:numCache>
                <c:formatCode>General</c:formatCode>
                <c:ptCount val="21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-2.3260000000000001</c:v>
                </c:pt>
                <c:pt idx="5">
                  <c:v>-2</c:v>
                </c:pt>
                <c:pt idx="6">
                  <c:v>-1.645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1.645</c:v>
                </c:pt>
                <c:pt idx="15">
                  <c:v>2</c:v>
                </c:pt>
                <c:pt idx="16">
                  <c:v>2.3260000000000001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</c:numCache>
            </c:numRef>
          </c:cat>
          <c:val>
            <c:numRef>
              <c:f>[41]Sheet1!$G$4:$G$24</c:f>
              <c:numCache>
                <c:formatCode>General</c:formatCode>
                <c:ptCount val="21"/>
                <c:pt idx="0">
                  <c:v>3.1671241833119857E-5</c:v>
                </c:pt>
                <c:pt idx="1">
                  <c:v>2.3262907903552504E-4</c:v>
                </c:pt>
                <c:pt idx="2">
                  <c:v>1.3498980316300933E-3</c:v>
                </c:pt>
                <c:pt idx="3">
                  <c:v>6.2096653257761331E-3</c:v>
                </c:pt>
                <c:pt idx="4">
                  <c:v>1.0009275340867664E-2</c:v>
                </c:pt>
                <c:pt idx="5">
                  <c:v>2.2750131948179191E-2</c:v>
                </c:pt>
                <c:pt idx="6">
                  <c:v>4.9984905539121376E-2</c:v>
                </c:pt>
                <c:pt idx="7">
                  <c:v>6.6807201268858057E-2</c:v>
                </c:pt>
                <c:pt idx="8">
                  <c:v>0.15865525393145699</c:v>
                </c:pt>
                <c:pt idx="9">
                  <c:v>0.30853753872598688</c:v>
                </c:pt>
                <c:pt idx="10">
                  <c:v>0.5</c:v>
                </c:pt>
                <c:pt idx="11">
                  <c:v>0.69146246127401312</c:v>
                </c:pt>
                <c:pt idx="12">
                  <c:v>0.84134474606854304</c:v>
                </c:pt>
                <c:pt idx="13">
                  <c:v>0.93319279873114191</c:v>
                </c:pt>
                <c:pt idx="14">
                  <c:v>0.95001509446087862</c:v>
                </c:pt>
                <c:pt idx="15">
                  <c:v>0.97724986805182079</c:v>
                </c:pt>
                <c:pt idx="16">
                  <c:v>0.98999072465913229</c:v>
                </c:pt>
                <c:pt idx="17">
                  <c:v>0.99379033467422384</c:v>
                </c:pt>
                <c:pt idx="18">
                  <c:v>0.9986501019683699</c:v>
                </c:pt>
                <c:pt idx="19">
                  <c:v>0.99976737092096446</c:v>
                </c:pt>
                <c:pt idx="20">
                  <c:v>0.99996832875816688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9-4685-8E9A-E89A34AC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997359"/>
        <c:axId val="374989455"/>
      </c:lineChart>
      <c:catAx>
        <c:axId val="37499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989455"/>
        <c:crosses val="autoZero"/>
        <c:auto val="1"/>
        <c:lblAlgn val="ctr"/>
        <c:lblOffset val="100"/>
        <c:noMultiLvlLbl val="0"/>
      </c:catAx>
      <c:valAx>
        <c:axId val="37498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99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2479153382662"/>
          <c:y val="5.3682849066551679E-2"/>
          <c:w val="0.89957520846617334"/>
          <c:h val="0.928455302872977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[41]Sheet1!$E$4:$E$14</c:f>
              <c:numCache>
                <c:formatCode>General</c:formatCode>
                <c:ptCount val="11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-2.3260000000000001</c:v>
                </c:pt>
                <c:pt idx="5">
                  <c:v>-2</c:v>
                </c:pt>
                <c:pt idx="6">
                  <c:v>-1.645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C-4CCF-8A95-1F8FCB86CC1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[41]Sheet1!$F$4:$F$14</c:f>
              <c:numCache>
                <c:formatCode>General</c:formatCode>
                <c:ptCount val="11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2.6673718259423804E-2</c:v>
                </c:pt>
                <c:pt idx="5">
                  <c:v>5.3990966513188063E-2</c:v>
                </c:pt>
                <c:pt idx="6">
                  <c:v>0.10311081109198142</c:v>
                </c:pt>
                <c:pt idx="7">
                  <c:v>0.12951759566589174</c:v>
                </c:pt>
                <c:pt idx="8">
                  <c:v>0.24197072451914337</c:v>
                </c:pt>
                <c:pt idx="9">
                  <c:v>0.35206532676429952</c:v>
                </c:pt>
                <c:pt idx="10">
                  <c:v>0.3989422804014327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C-4CCF-8A95-1F8FCB86CC1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[41]Sheet1!$G$4:$G$14</c:f>
              <c:numCache>
                <c:formatCode>General</c:formatCode>
                <c:ptCount val="11"/>
                <c:pt idx="0">
                  <c:v>3.1671241833119857E-5</c:v>
                </c:pt>
                <c:pt idx="1">
                  <c:v>2.3262907903552504E-4</c:v>
                </c:pt>
                <c:pt idx="2">
                  <c:v>1.3498980316300933E-3</c:v>
                </c:pt>
                <c:pt idx="3">
                  <c:v>6.2096653257761331E-3</c:v>
                </c:pt>
                <c:pt idx="4">
                  <c:v>1.0009275340867664E-2</c:v>
                </c:pt>
                <c:pt idx="5">
                  <c:v>2.2750131948179191E-2</c:v>
                </c:pt>
                <c:pt idx="6">
                  <c:v>4.9984905539121376E-2</c:v>
                </c:pt>
                <c:pt idx="7">
                  <c:v>6.6807201268858057E-2</c:v>
                </c:pt>
                <c:pt idx="8">
                  <c:v>0.15865525393145699</c:v>
                </c:pt>
                <c:pt idx="9">
                  <c:v>0.30853753872598688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C-4CCF-8A95-1F8FCB86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997359"/>
        <c:axId val="374989455"/>
      </c:lineChart>
      <c:catAx>
        <c:axId val="374997359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989455"/>
        <c:crosses val="autoZero"/>
        <c:auto val="1"/>
        <c:lblAlgn val="ctr"/>
        <c:lblOffset val="100"/>
        <c:noMultiLvlLbl val="0"/>
      </c:catAx>
      <c:valAx>
        <c:axId val="37498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99735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Distribution pdf and CDF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[41]Sheet1!$F$4:$F$13</c:f>
              <c:strCache>
                <c:ptCount val="1"/>
                <c:pt idx="0">
                  <c:v>0.00013383 0.000872683 0.004431848 0.0175283 0.026673718 0.053990967 0.103110811 0.129517596 0.241970725 0.352065327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[41]Sheet1!$E$4:$E$24</c:f>
              <c:numCache>
                <c:formatCode>General</c:formatCode>
                <c:ptCount val="21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-2.3260000000000001</c:v>
                </c:pt>
                <c:pt idx="5">
                  <c:v>-2</c:v>
                </c:pt>
                <c:pt idx="6">
                  <c:v>-1.645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1.645</c:v>
                </c:pt>
                <c:pt idx="15">
                  <c:v>2</c:v>
                </c:pt>
                <c:pt idx="16">
                  <c:v>2.3260000000000001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</c:numCache>
            </c:numRef>
          </c:cat>
          <c:val>
            <c:numRef>
              <c:f>[41]Sheet1!$F$4:$F$13</c:f>
              <c:numCache>
                <c:formatCode>General</c:formatCode>
                <c:ptCount val="10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2.6673718259423804E-2</c:v>
                </c:pt>
                <c:pt idx="5">
                  <c:v>5.3990966513188063E-2</c:v>
                </c:pt>
                <c:pt idx="6">
                  <c:v>0.10311081109198142</c:v>
                </c:pt>
                <c:pt idx="7">
                  <c:v>0.12951759566589174</c:v>
                </c:pt>
                <c:pt idx="8">
                  <c:v>0.24197072451914337</c:v>
                </c:pt>
                <c:pt idx="9">
                  <c:v>0.35206532676429952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3-4565-B0E7-E18E897A6E41}"/>
            </c:ext>
          </c:extLst>
        </c:ser>
        <c:ser>
          <c:idx val="2"/>
          <c:order val="2"/>
          <c:tx>
            <c:strRef>
              <c:f>[41]Sheet1!$G$4:$G$13</c:f>
              <c:strCache>
                <c:ptCount val="1"/>
                <c:pt idx="0">
                  <c:v>3.16712E-05 0.000232629 0.001349898 0.006209665 0.010009275 0.022750132 0.049984906 0.066807201 0.158655254 0.308537539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[41]Sheet1!$E$4:$E$24</c:f>
              <c:numCache>
                <c:formatCode>General</c:formatCode>
                <c:ptCount val="21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-2.3260000000000001</c:v>
                </c:pt>
                <c:pt idx="5">
                  <c:v>-2</c:v>
                </c:pt>
                <c:pt idx="6">
                  <c:v>-1.645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1.645</c:v>
                </c:pt>
                <c:pt idx="15">
                  <c:v>2</c:v>
                </c:pt>
                <c:pt idx="16">
                  <c:v>2.3260000000000001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</c:numCache>
            </c:numRef>
          </c:cat>
          <c:val>
            <c:numRef>
              <c:f>[41]Sheet1!$G$4:$G$13</c:f>
              <c:numCache>
                <c:formatCode>General</c:formatCode>
                <c:ptCount val="10"/>
                <c:pt idx="0">
                  <c:v>3.1671241833119857E-5</c:v>
                </c:pt>
                <c:pt idx="1">
                  <c:v>2.3262907903552504E-4</c:v>
                </c:pt>
                <c:pt idx="2">
                  <c:v>1.3498980316300933E-3</c:v>
                </c:pt>
                <c:pt idx="3">
                  <c:v>6.2096653257761331E-3</c:v>
                </c:pt>
                <c:pt idx="4">
                  <c:v>1.0009275340867664E-2</c:v>
                </c:pt>
                <c:pt idx="5">
                  <c:v>2.2750131948179191E-2</c:v>
                </c:pt>
                <c:pt idx="6">
                  <c:v>4.9984905539121376E-2</c:v>
                </c:pt>
                <c:pt idx="7">
                  <c:v>6.6807201268858057E-2</c:v>
                </c:pt>
                <c:pt idx="8">
                  <c:v>0.15865525393145699</c:v>
                </c:pt>
                <c:pt idx="9">
                  <c:v>0.30853753872598688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3-4565-B0E7-E18E897A6E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4993359"/>
        <c:axId val="5649971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[41]Sheet1!$E$3</c15:sqref>
                        </c15:formulaRef>
                      </c:ext>
                    </c:extLst>
                    <c:strCache>
                      <c:ptCount val="1"/>
                      <c:pt idx="0">
                        <c:v>X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[41]Sheet1!$E$4:$E$24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-4</c:v>
                      </c:pt>
                      <c:pt idx="1">
                        <c:v>-3.5</c:v>
                      </c:pt>
                      <c:pt idx="2">
                        <c:v>-3</c:v>
                      </c:pt>
                      <c:pt idx="3">
                        <c:v>-2.5</c:v>
                      </c:pt>
                      <c:pt idx="4">
                        <c:v>-2.3260000000000001</c:v>
                      </c:pt>
                      <c:pt idx="5">
                        <c:v>-2</c:v>
                      </c:pt>
                      <c:pt idx="6">
                        <c:v>-1.645</c:v>
                      </c:pt>
                      <c:pt idx="7">
                        <c:v>-1.5</c:v>
                      </c:pt>
                      <c:pt idx="8">
                        <c:v>-1</c:v>
                      </c:pt>
                      <c:pt idx="9">
                        <c:v>-0.5</c:v>
                      </c:pt>
                      <c:pt idx="10">
                        <c:v>0</c:v>
                      </c:pt>
                      <c:pt idx="11">
                        <c:v>0.5</c:v>
                      </c:pt>
                      <c:pt idx="12">
                        <c:v>1</c:v>
                      </c:pt>
                      <c:pt idx="13">
                        <c:v>1.5</c:v>
                      </c:pt>
                      <c:pt idx="14">
                        <c:v>1.645</c:v>
                      </c:pt>
                      <c:pt idx="15">
                        <c:v>2</c:v>
                      </c:pt>
                      <c:pt idx="16">
                        <c:v>2.3260000000000001</c:v>
                      </c:pt>
                      <c:pt idx="17">
                        <c:v>2.5</c:v>
                      </c:pt>
                      <c:pt idx="18">
                        <c:v>3</c:v>
                      </c:pt>
                      <c:pt idx="19">
                        <c:v>3.5</c:v>
                      </c:pt>
                      <c:pt idx="20">
                        <c:v>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[41]Sheet1!$E$4:$E$13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-4</c:v>
                      </c:pt>
                      <c:pt idx="1">
                        <c:v>-3.5</c:v>
                      </c:pt>
                      <c:pt idx="2">
                        <c:v>-3</c:v>
                      </c:pt>
                      <c:pt idx="3">
                        <c:v>-2.5</c:v>
                      </c:pt>
                      <c:pt idx="4">
                        <c:v>-2.3260000000000001</c:v>
                      </c:pt>
                      <c:pt idx="5">
                        <c:v>-2</c:v>
                      </c:pt>
                      <c:pt idx="6">
                        <c:v>-1.645</c:v>
                      </c:pt>
                      <c:pt idx="7">
                        <c:v>-1.5</c:v>
                      </c:pt>
                      <c:pt idx="8">
                        <c:v>-1</c:v>
                      </c:pt>
                      <c:pt idx="9">
                        <c:v>-0.5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4C3-4565-B0E7-E18E897A6E41}"/>
                  </c:ext>
                </c:extLst>
              </c15:ser>
            </c15:filteredLineSeries>
          </c:ext>
        </c:extLst>
      </c:lineChart>
      <c:catAx>
        <c:axId val="564993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97103"/>
        <c:crosses val="autoZero"/>
        <c:auto val="1"/>
        <c:lblAlgn val="ctr"/>
        <c:lblOffset val="100"/>
        <c:noMultiLvlLbl val="0"/>
      </c:catAx>
      <c:valAx>
        <c:axId val="56499710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93359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</a:t>
            </a:r>
            <a:r>
              <a:rPr lang="en-US" baseline="0"/>
              <a:t> Distribusiton Function </a:t>
            </a:r>
          </a:p>
          <a:p>
            <a:pPr>
              <a:defRPr/>
            </a:pPr>
            <a:r>
              <a:rPr lang="en-US" baseline="0"/>
              <a:t>N(0,1)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[41]Sheet1!$G$3:$G$15</c:f>
              <c:strCache>
                <c:ptCount val="1"/>
                <c:pt idx="0">
                  <c:v>CDF 3.16712E-05 0.000232629 0.001349898 0.006209665 0.010009275 0.022750132 0.049984906 0.066807201 0.158655254 0.308537539 0.5 0.691462461</c:v>
                </c:pt>
              </c:strCache>
            </c:strRef>
          </c:tx>
          <c:spPr>
            <a:ln w="22225" cap="rnd" cmpd="sng" algn="ctr">
              <a:solidFill>
                <a:schemeClr val="accent1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[41]Sheet1!$E$4:$E$15</c:f>
              <c:numCache>
                <c:formatCode>General</c:formatCode>
                <c:ptCount val="12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-2.3260000000000001</c:v>
                </c:pt>
                <c:pt idx="5">
                  <c:v>-2</c:v>
                </c:pt>
                <c:pt idx="6">
                  <c:v>-1.645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</c:numCache>
            </c:numRef>
          </c:cat>
          <c:val>
            <c:numRef>
              <c:f>[41]Sheet1!$G$4:$G$15</c:f>
              <c:numCache>
                <c:formatCode>General</c:formatCode>
                <c:ptCount val="12"/>
                <c:pt idx="0">
                  <c:v>3.1671241833119857E-5</c:v>
                </c:pt>
                <c:pt idx="1">
                  <c:v>2.3262907903552504E-4</c:v>
                </c:pt>
                <c:pt idx="2">
                  <c:v>1.3498980316300933E-3</c:v>
                </c:pt>
                <c:pt idx="3">
                  <c:v>6.2096653257761331E-3</c:v>
                </c:pt>
                <c:pt idx="4">
                  <c:v>1.0009275340867664E-2</c:v>
                </c:pt>
                <c:pt idx="5">
                  <c:v>2.2750131948179191E-2</c:v>
                </c:pt>
                <c:pt idx="6">
                  <c:v>4.9984905539121376E-2</c:v>
                </c:pt>
                <c:pt idx="7">
                  <c:v>6.6807201268858057E-2</c:v>
                </c:pt>
                <c:pt idx="8">
                  <c:v>0.15865525393145699</c:v>
                </c:pt>
                <c:pt idx="9">
                  <c:v>0.30853753872598688</c:v>
                </c:pt>
                <c:pt idx="10">
                  <c:v>0.5</c:v>
                </c:pt>
                <c:pt idx="11">
                  <c:v>0.69146246127401312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D-4954-B8CD-B4A63FAE97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125936304"/>
        <c:axId val="212593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[41]Sheet1!$E$4:$E$24</c15:sqref>
                        </c15:formulaRef>
                      </c:ext>
                    </c:extLst>
                    <c:strCache>
                      <c:ptCount val="1"/>
                      <c:pt idx="0">
                        <c:v>-4 -3.5 -3 -2.5 -2.326 -2 -1.645 -1.5 -1 -0.5 0 0.5 1 1.5 1.645 2 2.326 2.5 3 3.5 4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shade val="5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[41]Sheet1!$E$4:$E$15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-4</c:v>
                      </c:pt>
                      <c:pt idx="1">
                        <c:v>-3.5</c:v>
                      </c:pt>
                      <c:pt idx="2">
                        <c:v>-3</c:v>
                      </c:pt>
                      <c:pt idx="3">
                        <c:v>-2.5</c:v>
                      </c:pt>
                      <c:pt idx="4">
                        <c:v>-2.3260000000000001</c:v>
                      </c:pt>
                      <c:pt idx="5">
                        <c:v>-2</c:v>
                      </c:pt>
                      <c:pt idx="6">
                        <c:v>-1.645</c:v>
                      </c:pt>
                      <c:pt idx="7">
                        <c:v>-1.5</c:v>
                      </c:pt>
                      <c:pt idx="8">
                        <c:v>-1</c:v>
                      </c:pt>
                      <c:pt idx="9">
                        <c:v>-0.5</c:v>
                      </c:pt>
                      <c:pt idx="10">
                        <c:v>0</c:v>
                      </c:pt>
                      <c:pt idx="11">
                        <c:v>0.5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[41]Sheet1!$E$4:$E$24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-4</c:v>
                      </c:pt>
                      <c:pt idx="1">
                        <c:v>-3.5</c:v>
                      </c:pt>
                      <c:pt idx="2">
                        <c:v>-3</c:v>
                      </c:pt>
                      <c:pt idx="3">
                        <c:v>-2.5</c:v>
                      </c:pt>
                      <c:pt idx="4">
                        <c:v>-2.3260000000000001</c:v>
                      </c:pt>
                      <c:pt idx="5">
                        <c:v>-2</c:v>
                      </c:pt>
                      <c:pt idx="6">
                        <c:v>-1.645</c:v>
                      </c:pt>
                      <c:pt idx="7">
                        <c:v>-1.5</c:v>
                      </c:pt>
                      <c:pt idx="8">
                        <c:v>-1</c:v>
                      </c:pt>
                      <c:pt idx="9">
                        <c:v>-0.5</c:v>
                      </c:pt>
                      <c:pt idx="10">
                        <c:v>0</c:v>
                      </c:pt>
                      <c:pt idx="11">
                        <c:v>0.5</c:v>
                      </c:pt>
                      <c:pt idx="12">
                        <c:v>1</c:v>
                      </c:pt>
                      <c:pt idx="13">
                        <c:v>1.5</c:v>
                      </c:pt>
                      <c:pt idx="14">
                        <c:v>1.645</c:v>
                      </c:pt>
                      <c:pt idx="15">
                        <c:v>2</c:v>
                      </c:pt>
                      <c:pt idx="16">
                        <c:v>2.3260000000000001</c:v>
                      </c:pt>
                      <c:pt idx="17">
                        <c:v>2.5</c:v>
                      </c:pt>
                      <c:pt idx="18">
                        <c:v>3</c:v>
                      </c:pt>
                      <c:pt idx="19">
                        <c:v>3.5</c:v>
                      </c:pt>
                      <c:pt idx="20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4AD-4954-B8CD-B4A63FAE973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[41]Sheet1!$F$3</c15:sqref>
                        </c15:formulaRef>
                      </c:ext>
                    </c:extLst>
                    <c:strCache>
                      <c:ptCount val="1"/>
                      <c:pt idx="0">
                        <c:v>pdf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shade val="8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[41]Sheet1!$E$4:$E$15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-4</c:v>
                      </c:pt>
                      <c:pt idx="1">
                        <c:v>-3.5</c:v>
                      </c:pt>
                      <c:pt idx="2">
                        <c:v>-3</c:v>
                      </c:pt>
                      <c:pt idx="3">
                        <c:v>-2.5</c:v>
                      </c:pt>
                      <c:pt idx="4">
                        <c:v>-2.3260000000000001</c:v>
                      </c:pt>
                      <c:pt idx="5">
                        <c:v>-2</c:v>
                      </c:pt>
                      <c:pt idx="6">
                        <c:v>-1.645</c:v>
                      </c:pt>
                      <c:pt idx="7">
                        <c:v>-1.5</c:v>
                      </c:pt>
                      <c:pt idx="8">
                        <c:v>-1</c:v>
                      </c:pt>
                      <c:pt idx="9">
                        <c:v>-0.5</c:v>
                      </c:pt>
                      <c:pt idx="10">
                        <c:v>0</c:v>
                      </c:pt>
                      <c:pt idx="11">
                        <c:v>0.5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[41]Sheet1!$F$4:$F$24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1.3383022576488537E-4</c:v>
                      </c:pt>
                      <c:pt idx="1">
                        <c:v>8.7268269504576015E-4</c:v>
                      </c:pt>
                      <c:pt idx="2">
                        <c:v>4.4318484119380075E-3</c:v>
                      </c:pt>
                      <c:pt idx="3">
                        <c:v>1.752830049356854E-2</c:v>
                      </c:pt>
                      <c:pt idx="4">
                        <c:v>2.6673718259423804E-2</c:v>
                      </c:pt>
                      <c:pt idx="5">
                        <c:v>5.3990966513188063E-2</c:v>
                      </c:pt>
                      <c:pt idx="6">
                        <c:v>0.10311081109198142</c:v>
                      </c:pt>
                      <c:pt idx="7">
                        <c:v>0.12951759566589174</c:v>
                      </c:pt>
                      <c:pt idx="8">
                        <c:v>0.24197072451914337</c:v>
                      </c:pt>
                      <c:pt idx="9">
                        <c:v>0.35206532676429952</c:v>
                      </c:pt>
                      <c:pt idx="10">
                        <c:v>0.3989422804014327</c:v>
                      </c:pt>
                      <c:pt idx="11">
                        <c:v>0.35206532676429952</c:v>
                      </c:pt>
                      <c:pt idx="12">
                        <c:v>0.24197072451914337</c:v>
                      </c:pt>
                      <c:pt idx="13">
                        <c:v>0.12951759566589174</c:v>
                      </c:pt>
                      <c:pt idx="14">
                        <c:v>0.10311081109198142</c:v>
                      </c:pt>
                      <c:pt idx="15">
                        <c:v>5.3990966513188063E-2</c:v>
                      </c:pt>
                      <c:pt idx="16">
                        <c:v>2.6673718259423804E-2</c:v>
                      </c:pt>
                      <c:pt idx="17">
                        <c:v>1.752830049356854E-2</c:v>
                      </c:pt>
                      <c:pt idx="18">
                        <c:v>4.4318484119380075E-3</c:v>
                      </c:pt>
                      <c:pt idx="19">
                        <c:v>8.7268269504576015E-4</c:v>
                      </c:pt>
                      <c:pt idx="20">
                        <c:v>1.3383022576488537E-4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4AD-4954-B8CD-B4A63FAE973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[41]Sheet1!$E$4:$E$24</c15:sqref>
                        </c15:formulaRef>
                      </c:ext>
                    </c:extLst>
                    <c:strCache>
                      <c:ptCount val="1"/>
                      <c:pt idx="0">
                        <c:v>-4 -3.5 -3 -2.5 -2.326 -2 -1.645 -1.5 -1 -0.5 0 0.5 1 1.5 1.645 2 2.326 2.5 3 3.5 4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>
                        <a:tint val="5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[41]Sheet1!$E$4:$E$15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-4</c:v>
                      </c:pt>
                      <c:pt idx="1">
                        <c:v>-3.5</c:v>
                      </c:pt>
                      <c:pt idx="2">
                        <c:v>-3</c:v>
                      </c:pt>
                      <c:pt idx="3">
                        <c:v>-2.5</c:v>
                      </c:pt>
                      <c:pt idx="4">
                        <c:v>-2.3260000000000001</c:v>
                      </c:pt>
                      <c:pt idx="5">
                        <c:v>-2</c:v>
                      </c:pt>
                      <c:pt idx="6">
                        <c:v>-1.645</c:v>
                      </c:pt>
                      <c:pt idx="7">
                        <c:v>-1.5</c:v>
                      </c:pt>
                      <c:pt idx="8">
                        <c:v>-1</c:v>
                      </c:pt>
                      <c:pt idx="9">
                        <c:v>-0.5</c:v>
                      </c:pt>
                      <c:pt idx="10">
                        <c:v>0</c:v>
                      </c:pt>
                      <c:pt idx="11">
                        <c:v>0.5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4AD-4954-B8CD-B4A63FAE973F}"/>
                  </c:ext>
                </c:extLst>
              </c15:ser>
            </c15:filteredLineSeries>
          </c:ext>
        </c:extLst>
      </c:lineChart>
      <c:catAx>
        <c:axId val="212593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934640"/>
        <c:crosses val="autoZero"/>
        <c:auto val="1"/>
        <c:lblAlgn val="ctr"/>
        <c:lblOffset val="100"/>
        <c:noMultiLvlLbl val="0"/>
      </c:catAx>
      <c:valAx>
        <c:axId val="2125934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9363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Normal  (probability)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543416447944"/>
          <c:y val="0.14340296004666084"/>
          <c:w val="0.79447561242344689"/>
          <c:h val="0.72341754155730531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'[40]QA2-YT-pdf-CFD (video)_arch'!$E$10</c:f>
              <c:strCache>
                <c:ptCount val="1"/>
                <c:pt idx="0">
                  <c:v>CDF</c:v>
                </c:pt>
              </c:strCache>
            </c:strRef>
          </c:tx>
          <c:spPr>
            <a:ln w="508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(video)_arch'!$C$13:$C$25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'[40]QA2-YT-pdf-CFD (video)_arch'!$E$11:$E$27</c:f>
              <c:numCache>
                <c:formatCode>General</c:formatCode>
                <c:ptCount val="17"/>
                <c:pt idx="0">
                  <c:v>6.2096653257761331E-3</c:v>
                </c:pt>
                <c:pt idx="1">
                  <c:v>1.2224472655044696E-2</c:v>
                </c:pt>
                <c:pt idx="2">
                  <c:v>2.2750131948179191E-2</c:v>
                </c:pt>
                <c:pt idx="3">
                  <c:v>4.00591568638171E-2</c:v>
                </c:pt>
                <c:pt idx="4">
                  <c:v>6.6807201268858057E-2</c:v>
                </c:pt>
                <c:pt idx="5">
                  <c:v>0.10564977366685525</c:v>
                </c:pt>
                <c:pt idx="6">
                  <c:v>0.15865525393145699</c:v>
                </c:pt>
                <c:pt idx="7">
                  <c:v>0.22662735237686821</c:v>
                </c:pt>
                <c:pt idx="8">
                  <c:v>0.30853753872598688</c:v>
                </c:pt>
                <c:pt idx="9">
                  <c:v>0.4012936743170763</c:v>
                </c:pt>
                <c:pt idx="10">
                  <c:v>0.5</c:v>
                </c:pt>
                <c:pt idx="11">
                  <c:v>0.5987063256829237</c:v>
                </c:pt>
                <c:pt idx="12">
                  <c:v>0.69146246127401312</c:v>
                </c:pt>
                <c:pt idx="13">
                  <c:v>0.77337264762313174</c:v>
                </c:pt>
                <c:pt idx="14">
                  <c:v>0.84134474606854304</c:v>
                </c:pt>
                <c:pt idx="15">
                  <c:v>0.89435022633314476</c:v>
                </c:pt>
                <c:pt idx="16">
                  <c:v>0.93319279873114191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86-4C53-B9E3-D2E20C7B6292}"/>
            </c:ext>
          </c:extLst>
        </c:ser>
        <c:ser>
          <c:idx val="1"/>
          <c:order val="1"/>
          <c:tx>
            <c:strRef>
              <c:f>'[40]QA2-YT-pdf-CFD (video)_arch'!$D$10</c:f>
              <c:strCache>
                <c:ptCount val="1"/>
                <c:pt idx="0">
                  <c:v>pdf</c:v>
                </c:pt>
              </c:strCache>
            </c:strRef>
          </c:tx>
          <c:spPr>
            <a:ln w="508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(video)_arch'!$C$13:$C$25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'[40]QA2-YT-pdf-CFD (video)_arch'!$D$11:$D$27</c:f>
              <c:numCache>
                <c:formatCode>General</c:formatCode>
                <c:ptCount val="17"/>
                <c:pt idx="0">
                  <c:v>8.7641502467842702E-3</c:v>
                </c:pt>
                <c:pt idx="1">
                  <c:v>1.5869825917833709E-2</c:v>
                </c:pt>
                <c:pt idx="2">
                  <c:v>2.6995483256594031E-2</c:v>
                </c:pt>
                <c:pt idx="3">
                  <c:v>4.3138659413255766E-2</c:v>
                </c:pt>
                <c:pt idx="4">
                  <c:v>6.4758797832945872E-2</c:v>
                </c:pt>
                <c:pt idx="5">
                  <c:v>9.1324542694510957E-2</c:v>
                </c:pt>
                <c:pt idx="6">
                  <c:v>0.12098536225957168</c:v>
                </c:pt>
                <c:pt idx="7">
                  <c:v>0.15056871607740221</c:v>
                </c:pt>
                <c:pt idx="8">
                  <c:v>0.17603266338214976</c:v>
                </c:pt>
                <c:pt idx="9">
                  <c:v>0.19333405840142462</c:v>
                </c:pt>
                <c:pt idx="10">
                  <c:v>0.19947114020071635</c:v>
                </c:pt>
                <c:pt idx="11">
                  <c:v>0.19333405840142462</c:v>
                </c:pt>
                <c:pt idx="12">
                  <c:v>0.17603266338214976</c:v>
                </c:pt>
                <c:pt idx="13">
                  <c:v>0.15056871607740221</c:v>
                </c:pt>
                <c:pt idx="14">
                  <c:v>0.12098536225957168</c:v>
                </c:pt>
                <c:pt idx="15">
                  <c:v>9.1324542694510957E-2</c:v>
                </c:pt>
                <c:pt idx="16">
                  <c:v>6.4758797832945872E-2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86-4C53-B9E3-D2E20C7B6292}"/>
            </c:ext>
          </c:extLst>
        </c:ser>
        <c:ser>
          <c:idx val="0"/>
          <c:order val="2"/>
          <c:spPr>
            <a:ln w="28575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'[40]QA2-YT-pdf-CFD (video)_arch'!$C$29:$C$30</c:f>
              <c:numCache>
                <c:formatCode>General</c:formatCode>
                <c:ptCount val="2"/>
                <c:pt idx="0">
                  <c:v>1.5066942062715996</c:v>
                </c:pt>
                <c:pt idx="1">
                  <c:v>1.5066942062715996</c:v>
                </c:pt>
              </c:numCache>
            </c:numRef>
          </c:xVal>
          <c:yVal>
            <c:numRef>
              <c:f>'[40]QA2-YT-pdf-CFD (video)_arch'!$D$29:$D$30</c:f>
              <c:numCache>
                <c:formatCode>General</c:formatCode>
                <c:ptCount val="2"/>
                <c:pt idx="0">
                  <c:v>0</c:v>
                </c:pt>
                <c:pt idx="1">
                  <c:v>0.19317126674843024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86-4C53-B9E3-D2E20C7B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86016"/>
        <c:axId val="898386752"/>
      </c:scatterChart>
      <c:valAx>
        <c:axId val="898386016"/>
        <c:scaling>
          <c:orientation val="minMax"/>
          <c:max val="3"/>
          <c:min val="-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752"/>
        <c:crosses val="autoZero"/>
        <c:crossBetween val="midCat"/>
        <c:majorUnit val="1"/>
      </c:valAx>
      <c:valAx>
        <c:axId val="8983867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0.1736111111111111"/>
          <c:y val="0.24132400116652086"/>
          <c:w val="0.24453138670166227"/>
          <c:h val="0.3095575553055868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Poisson  (probability)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'[40]QA2-YT-pdf-CFD (video)_arch'!$D$39</c:f>
              <c:strCache>
                <c:ptCount val="1"/>
                <c:pt idx="0">
                  <c:v>pmf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'[40]QA2-YT-pdf-CFD (video)_arch'!$C$40:$C$55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'[40]QA2-YT-pdf-CFD (video)_arch'!$D$40:$D$55</c:f>
              <c:numCache>
                <c:formatCode>General</c:formatCode>
                <c:ptCount val="16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2.7005039315604771E-3</c:v>
                </c:pt>
                <c:pt idx="10">
                  <c:v>8.1015117946814244E-4</c:v>
                </c:pt>
                <c:pt idx="11">
                  <c:v>2.2095032167312987E-4</c:v>
                </c:pt>
                <c:pt idx="12">
                  <c:v>5.5237580418282596E-5</c:v>
                </c:pt>
                <c:pt idx="13">
                  <c:v>1.2747133942680586E-5</c:v>
                </c:pt>
                <c:pt idx="14">
                  <c:v>2.7315287020029766E-6</c:v>
                </c:pt>
                <c:pt idx="15">
                  <c:v>5.4630574040059675E-7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6-46BA-9888-30F80F47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98386016"/>
        <c:axId val="898386752"/>
      </c:barChart>
      <c:scatterChart>
        <c:scatterStyle val="lineMarker"/>
        <c:varyColors val="0"/>
        <c:ser>
          <c:idx val="2"/>
          <c:order val="1"/>
          <c:tx>
            <c:strRef>
              <c:f>'[40]QA2-YT-pdf-CFD (video)_arch'!$E$39</c:f>
              <c:strCache>
                <c:ptCount val="1"/>
                <c:pt idx="0">
                  <c:v>CDF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'[40]QA2-YT-pdf-CFD (video)_arch'!$C$40:$C$55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'[40]QA2-YT-pdf-CFD (video)_arch'!$E$40:$E$55</c:f>
              <c:numCache>
                <c:formatCode>General</c:formatCode>
                <c:ptCount val="16"/>
                <c:pt idx="0">
                  <c:v>4.9787068367863944E-2</c:v>
                </c:pt>
                <c:pt idx="1">
                  <c:v>0.19914827347145578</c:v>
                </c:pt>
                <c:pt idx="2">
                  <c:v>0.42319008112684342</c:v>
                </c:pt>
                <c:pt idx="3">
                  <c:v>0.64723188878223126</c:v>
                </c:pt>
                <c:pt idx="4">
                  <c:v>0.81526324452377208</c:v>
                </c:pt>
                <c:pt idx="5">
                  <c:v>0.91608205796869657</c:v>
                </c:pt>
                <c:pt idx="6">
                  <c:v>0.96649146469115887</c:v>
                </c:pt>
                <c:pt idx="7">
                  <c:v>0.98809549614364256</c:v>
                </c:pt>
                <c:pt idx="8">
                  <c:v>0.996197007938324</c:v>
                </c:pt>
                <c:pt idx="9">
                  <c:v>0.99889751186988451</c:v>
                </c:pt>
                <c:pt idx="10">
                  <c:v>0.99970766304935266</c:v>
                </c:pt>
                <c:pt idx="11">
                  <c:v>0.99992861337102579</c:v>
                </c:pt>
                <c:pt idx="12">
                  <c:v>0.99998385095144404</c:v>
                </c:pt>
                <c:pt idx="13">
                  <c:v>0.99999659808538677</c:v>
                </c:pt>
                <c:pt idx="14">
                  <c:v>0.99999932961408877</c:v>
                </c:pt>
                <c:pt idx="15">
                  <c:v>0.9999998759198292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C6-46BA-9888-30F80F47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133600"/>
        <c:axId val="1412133272"/>
      </c:scatterChart>
      <c:catAx>
        <c:axId val="89838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752"/>
        <c:crosses val="autoZero"/>
        <c:auto val="1"/>
        <c:lblAlgn val="ctr"/>
        <c:lblOffset val="100"/>
        <c:tickLblSkip val="1"/>
        <c:noMultiLvlLbl val="0"/>
      </c:catAx>
      <c:valAx>
        <c:axId val="898386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016"/>
        <c:crosses val="autoZero"/>
        <c:crossBetween val="between"/>
      </c:valAx>
      <c:valAx>
        <c:axId val="1412133272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133600"/>
        <c:crosses val="max"/>
        <c:crossBetween val="midCat"/>
      </c:valAx>
      <c:valAx>
        <c:axId val="141213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2133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0416666666666663"/>
          <c:y val="0.56076844561096528"/>
          <c:w val="0.21296888670166228"/>
          <c:h val="0.244620151647710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Power function is not a probability </a:t>
            </a:r>
            <a:br>
              <a:rPr lang="en-US" sz="1200" baseline="0"/>
            </a:br>
            <a:r>
              <a:rPr lang="en-US" sz="1200" baseline="0"/>
              <a:t>(unless we compel it !)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'[40]QA2-YT-pdf-CFD (video)_arch'!$D$78</c:f>
              <c:strCache>
                <c:ptCount val="1"/>
                <c:pt idx="0">
                  <c:v>aX^2</c:v>
                </c:pt>
              </c:strCache>
            </c:strRef>
          </c:tx>
          <c:spPr>
            <a:ln w="508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(video)_arch'!$C$79:$C$99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'[40]QA2-YT-pdf-CFD (video)_arch'!$D$79:$D$99</c:f>
              <c:numCache>
                <c:formatCode>General</c:formatCode>
                <c:ptCount val="21"/>
                <c:pt idx="0">
                  <c:v>0</c:v>
                </c:pt>
                <c:pt idx="1">
                  <c:v>2.9296875E-3</c:v>
                </c:pt>
                <c:pt idx="2">
                  <c:v>1.171875E-2</c:v>
                </c:pt>
                <c:pt idx="3">
                  <c:v>2.63671875E-2</c:v>
                </c:pt>
                <c:pt idx="4">
                  <c:v>4.6875E-2</c:v>
                </c:pt>
                <c:pt idx="5">
                  <c:v>7.32421875E-2</c:v>
                </c:pt>
                <c:pt idx="6">
                  <c:v>0.10546875</c:v>
                </c:pt>
                <c:pt idx="7">
                  <c:v>0.1435546875</c:v>
                </c:pt>
                <c:pt idx="8">
                  <c:v>0.1875</c:v>
                </c:pt>
                <c:pt idx="9">
                  <c:v>0.2373046875</c:v>
                </c:pt>
                <c:pt idx="10">
                  <c:v>0.29296875</c:v>
                </c:pt>
                <c:pt idx="11">
                  <c:v>0.3544921875</c:v>
                </c:pt>
                <c:pt idx="12">
                  <c:v>0.421875</c:v>
                </c:pt>
                <c:pt idx="13">
                  <c:v>0.4951171875</c:v>
                </c:pt>
                <c:pt idx="14">
                  <c:v>0.57421875</c:v>
                </c:pt>
                <c:pt idx="15">
                  <c:v>0.6591796875</c:v>
                </c:pt>
                <c:pt idx="16">
                  <c:v>0.75</c:v>
                </c:pt>
                <c:pt idx="17">
                  <c:v>0.8466796875</c:v>
                </c:pt>
                <c:pt idx="18">
                  <c:v>0.94921875</c:v>
                </c:pt>
                <c:pt idx="19">
                  <c:v>1.0576171875</c:v>
                </c:pt>
                <c:pt idx="20">
                  <c:v>1.171875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76-41B8-9013-D31230332358}"/>
            </c:ext>
          </c:extLst>
        </c:ser>
        <c:ser>
          <c:idx val="2"/>
          <c:order val="1"/>
          <c:tx>
            <c:strRef>
              <c:f>'[40]QA2-YT-pdf-CFD (video)_arch'!$E$78</c:f>
              <c:strCache>
                <c:ptCount val="1"/>
                <c:pt idx="0">
                  <c:v>aX^3/3</c:v>
                </c:pt>
              </c:strCache>
            </c:strRef>
          </c:tx>
          <c:spPr>
            <a:ln w="508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(video)_arch'!$C$79:$C$99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'[40]QA2-YT-pdf-CFD (video)_arch'!$E$79:$E$99</c:f>
              <c:numCache>
                <c:formatCode>General</c:formatCode>
                <c:ptCount val="21"/>
                <c:pt idx="0">
                  <c:v>0</c:v>
                </c:pt>
                <c:pt idx="1">
                  <c:v>2.44140625E-4</c:v>
                </c:pt>
                <c:pt idx="2">
                  <c:v>1.953125E-3</c:v>
                </c:pt>
                <c:pt idx="3">
                  <c:v>6.591796875E-3</c:v>
                </c:pt>
                <c:pt idx="4">
                  <c:v>1.5625E-2</c:v>
                </c:pt>
                <c:pt idx="5">
                  <c:v>3.0517578125E-2</c:v>
                </c:pt>
                <c:pt idx="6">
                  <c:v>5.2734375E-2</c:v>
                </c:pt>
                <c:pt idx="7">
                  <c:v>8.3740234375E-2</c:v>
                </c:pt>
                <c:pt idx="8">
                  <c:v>0.125</c:v>
                </c:pt>
                <c:pt idx="9">
                  <c:v>0.177978515625</c:v>
                </c:pt>
                <c:pt idx="10">
                  <c:v>0.244140625</c:v>
                </c:pt>
                <c:pt idx="11">
                  <c:v>0.324951171875</c:v>
                </c:pt>
                <c:pt idx="12">
                  <c:v>0.421875</c:v>
                </c:pt>
                <c:pt idx="13">
                  <c:v>0.536376953125</c:v>
                </c:pt>
                <c:pt idx="14">
                  <c:v>0.669921875</c:v>
                </c:pt>
                <c:pt idx="15">
                  <c:v>0.823974609375</c:v>
                </c:pt>
                <c:pt idx="16">
                  <c:v>1</c:v>
                </c:pt>
                <c:pt idx="17">
                  <c:v>1.199462890625</c:v>
                </c:pt>
                <c:pt idx="18">
                  <c:v>1.423828125</c:v>
                </c:pt>
                <c:pt idx="19">
                  <c:v>1.674560546875</c:v>
                </c:pt>
                <c:pt idx="20">
                  <c:v>1.953125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76-41B8-9013-D31230332358}"/>
            </c:ext>
          </c:extLst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'[40]QA2-YT-pdf-CFD (video)_arch'!$C$116</c:f>
              <c:numCache>
                <c:formatCode>General</c:formatCode>
                <c:ptCount val="1"/>
                <c:pt idx="0">
                  <c:v>2.9955900531367754</c:v>
                </c:pt>
              </c:numCache>
            </c:numRef>
          </c:xVal>
          <c:yVal>
            <c:numRef>
              <c:f>'[40]QA2-YT-pdf-CFD (video)_arch'!$D$116</c:f>
              <c:numCache>
                <c:formatCode>General</c:formatCode>
                <c:ptCount val="1"/>
                <c:pt idx="0">
                  <c:v>0.42063561405243699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76-41B8-9013-D3123033235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0"/>
            <c:spPr>
              <a:solidFill>
                <a:srgbClr val="0070C0"/>
              </a:solidFill>
              <a:ln w="9525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'[40]QA2-YT-pdf-CFD (video)_arch'!$C$116</c:f>
              <c:numCache>
                <c:formatCode>General</c:formatCode>
                <c:ptCount val="1"/>
                <c:pt idx="0">
                  <c:v>2.9955900531367754</c:v>
                </c:pt>
              </c:numCache>
            </c:numRef>
          </c:xVal>
          <c:yVal>
            <c:numRef>
              <c:f>'[40]QA2-YT-pdf-CFD (video)_arch'!$E$116</c:f>
              <c:numCache>
                <c:formatCode>General</c:formatCode>
                <c:ptCount val="1"/>
                <c:pt idx="0">
                  <c:v>0.42001728715018666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76-41B8-9013-D3123033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86016"/>
        <c:axId val="898386752"/>
      </c:scatterChart>
      <c:valAx>
        <c:axId val="898386016"/>
        <c:scaling>
          <c:orientation val="minMax"/>
          <c:max val="4"/>
          <c:min val="0"/>
        </c:scaling>
        <c:delete val="0"/>
        <c:axPos val="b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752"/>
        <c:crosses val="autoZero"/>
        <c:crossBetween val="midCat"/>
        <c:majorUnit val="1"/>
      </c:valAx>
      <c:valAx>
        <c:axId val="898386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194444444444445"/>
          <c:y val="0.26484725867599884"/>
          <c:w val="0.37458388013998251"/>
          <c:h val="0.2160921551472732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Normal  (probability)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543416447944"/>
          <c:y val="0.14340296004666084"/>
          <c:w val="0.79447561242344689"/>
          <c:h val="0.72341754155730531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'[40]QA2-YT-pdf-CFD (video)_arch'!$E$10</c:f>
              <c:strCache>
                <c:ptCount val="1"/>
                <c:pt idx="0">
                  <c:v>CDF</c:v>
                </c:pt>
              </c:strCache>
            </c:strRef>
          </c:tx>
          <c:spPr>
            <a:ln w="508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(video)_arch'!$C$13:$C$25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'[40]QA2-YT-pdf-CFD (video)_arch'!$E$11:$E$27</c:f>
              <c:numCache>
                <c:formatCode>General</c:formatCode>
                <c:ptCount val="17"/>
                <c:pt idx="0">
                  <c:v>6.2096653257761331E-3</c:v>
                </c:pt>
                <c:pt idx="1">
                  <c:v>1.2224472655044696E-2</c:v>
                </c:pt>
                <c:pt idx="2">
                  <c:v>2.2750131948179191E-2</c:v>
                </c:pt>
                <c:pt idx="3">
                  <c:v>4.00591568638171E-2</c:v>
                </c:pt>
                <c:pt idx="4">
                  <c:v>6.6807201268858057E-2</c:v>
                </c:pt>
                <c:pt idx="5">
                  <c:v>0.10564977366685525</c:v>
                </c:pt>
                <c:pt idx="6">
                  <c:v>0.15865525393145699</c:v>
                </c:pt>
                <c:pt idx="7">
                  <c:v>0.22662735237686821</c:v>
                </c:pt>
                <c:pt idx="8">
                  <c:v>0.30853753872598688</c:v>
                </c:pt>
                <c:pt idx="9">
                  <c:v>0.4012936743170763</c:v>
                </c:pt>
                <c:pt idx="10">
                  <c:v>0.5</c:v>
                </c:pt>
                <c:pt idx="11">
                  <c:v>0.5987063256829237</c:v>
                </c:pt>
                <c:pt idx="12">
                  <c:v>0.69146246127401312</c:v>
                </c:pt>
                <c:pt idx="13">
                  <c:v>0.77337264762313174</c:v>
                </c:pt>
                <c:pt idx="14">
                  <c:v>0.84134474606854304</c:v>
                </c:pt>
                <c:pt idx="15">
                  <c:v>0.89435022633314476</c:v>
                </c:pt>
                <c:pt idx="16">
                  <c:v>0.93319279873114191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F5-494C-8DA7-79D53FF4BB28}"/>
            </c:ext>
          </c:extLst>
        </c:ser>
        <c:ser>
          <c:idx val="1"/>
          <c:order val="1"/>
          <c:tx>
            <c:strRef>
              <c:f>'[40]QA2-YT-pdf-CFD (video)_arch'!$D$10</c:f>
              <c:strCache>
                <c:ptCount val="1"/>
                <c:pt idx="0">
                  <c:v>pdf</c:v>
                </c:pt>
              </c:strCache>
            </c:strRef>
          </c:tx>
          <c:spPr>
            <a:ln w="508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(video)_arch'!$C$13:$C$25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'[40]QA2-YT-pdf-CFD (video)_arch'!$D$11:$D$27</c:f>
              <c:numCache>
                <c:formatCode>General</c:formatCode>
                <c:ptCount val="17"/>
                <c:pt idx="0">
                  <c:v>8.7641502467842702E-3</c:v>
                </c:pt>
                <c:pt idx="1">
                  <c:v>1.5869825917833709E-2</c:v>
                </c:pt>
                <c:pt idx="2">
                  <c:v>2.6995483256594031E-2</c:v>
                </c:pt>
                <c:pt idx="3">
                  <c:v>4.3138659413255766E-2</c:v>
                </c:pt>
                <c:pt idx="4">
                  <c:v>6.4758797832945872E-2</c:v>
                </c:pt>
                <c:pt idx="5">
                  <c:v>9.1324542694510957E-2</c:v>
                </c:pt>
                <c:pt idx="6">
                  <c:v>0.12098536225957168</c:v>
                </c:pt>
                <c:pt idx="7">
                  <c:v>0.15056871607740221</c:v>
                </c:pt>
                <c:pt idx="8">
                  <c:v>0.17603266338214976</c:v>
                </c:pt>
                <c:pt idx="9">
                  <c:v>0.19333405840142462</c:v>
                </c:pt>
                <c:pt idx="10">
                  <c:v>0.19947114020071635</c:v>
                </c:pt>
                <c:pt idx="11">
                  <c:v>0.19333405840142462</c:v>
                </c:pt>
                <c:pt idx="12">
                  <c:v>0.17603266338214976</c:v>
                </c:pt>
                <c:pt idx="13">
                  <c:v>0.15056871607740221</c:v>
                </c:pt>
                <c:pt idx="14">
                  <c:v>0.12098536225957168</c:v>
                </c:pt>
                <c:pt idx="15">
                  <c:v>9.1324542694510957E-2</c:v>
                </c:pt>
                <c:pt idx="16">
                  <c:v>6.4758797832945872E-2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F5-494C-8DA7-79D53FF4BB28}"/>
            </c:ext>
          </c:extLst>
        </c:ser>
        <c:ser>
          <c:idx val="0"/>
          <c:order val="2"/>
          <c:spPr>
            <a:ln w="28575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'[40]QA2-YT-pdf-CFD (video)_arch'!$C$29:$C$30</c:f>
              <c:numCache>
                <c:formatCode>General</c:formatCode>
                <c:ptCount val="2"/>
                <c:pt idx="0">
                  <c:v>1.5066942062715996</c:v>
                </c:pt>
                <c:pt idx="1">
                  <c:v>1.5066942062715996</c:v>
                </c:pt>
              </c:numCache>
            </c:numRef>
          </c:xVal>
          <c:yVal>
            <c:numRef>
              <c:f>'[40]QA2-YT-pdf-CFD (video)_arch'!$D$29:$D$30</c:f>
              <c:numCache>
                <c:formatCode>General</c:formatCode>
                <c:ptCount val="2"/>
                <c:pt idx="0">
                  <c:v>0</c:v>
                </c:pt>
                <c:pt idx="1">
                  <c:v>0.19317126674843024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F5-494C-8DA7-79D53FF4B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86016"/>
        <c:axId val="898386752"/>
      </c:scatterChart>
      <c:valAx>
        <c:axId val="898386016"/>
        <c:scaling>
          <c:orientation val="minMax"/>
          <c:max val="3"/>
          <c:min val="-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752"/>
        <c:crosses val="autoZero"/>
        <c:crossBetween val="midCat"/>
        <c:majorUnit val="1"/>
      </c:valAx>
      <c:valAx>
        <c:axId val="8983867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0.1736111111111111"/>
          <c:y val="0.24132400116652086"/>
          <c:w val="0.24453138670166227"/>
          <c:h val="0.3095575553055868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Poisson  (probability)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'[40]QA2-YT-pdf-CFD (video)_arch'!$D$39</c:f>
              <c:strCache>
                <c:ptCount val="1"/>
                <c:pt idx="0">
                  <c:v>pmf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'[40]QA2-YT-pdf-CFD (video)_arch'!$C$40:$C$55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'[40]QA2-YT-pdf-CFD (video)_arch'!$D$40:$D$55</c:f>
              <c:numCache>
                <c:formatCode>General</c:formatCode>
                <c:ptCount val="16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2.7005039315604771E-3</c:v>
                </c:pt>
                <c:pt idx="10">
                  <c:v>8.1015117946814244E-4</c:v>
                </c:pt>
                <c:pt idx="11">
                  <c:v>2.2095032167312987E-4</c:v>
                </c:pt>
                <c:pt idx="12">
                  <c:v>5.5237580418282596E-5</c:v>
                </c:pt>
                <c:pt idx="13">
                  <c:v>1.2747133942680586E-5</c:v>
                </c:pt>
                <c:pt idx="14">
                  <c:v>2.7315287020029766E-6</c:v>
                </c:pt>
                <c:pt idx="15">
                  <c:v>5.4630574040059675E-7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E-4C24-A11C-64FD221A0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98386016"/>
        <c:axId val="898386752"/>
      </c:barChart>
      <c:scatterChart>
        <c:scatterStyle val="lineMarker"/>
        <c:varyColors val="0"/>
        <c:ser>
          <c:idx val="2"/>
          <c:order val="1"/>
          <c:tx>
            <c:strRef>
              <c:f>'[40]QA2-YT-pdf-CFD (video)_arch'!$E$39</c:f>
              <c:strCache>
                <c:ptCount val="1"/>
                <c:pt idx="0">
                  <c:v>CDF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'[40]QA2-YT-pdf-CFD (video)_arch'!$C$40:$C$55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'[40]QA2-YT-pdf-CFD (video)_arch'!$E$40:$E$55</c:f>
              <c:numCache>
                <c:formatCode>General</c:formatCode>
                <c:ptCount val="16"/>
                <c:pt idx="0">
                  <c:v>4.9787068367863944E-2</c:v>
                </c:pt>
                <c:pt idx="1">
                  <c:v>0.19914827347145578</c:v>
                </c:pt>
                <c:pt idx="2">
                  <c:v>0.42319008112684342</c:v>
                </c:pt>
                <c:pt idx="3">
                  <c:v>0.64723188878223126</c:v>
                </c:pt>
                <c:pt idx="4">
                  <c:v>0.81526324452377208</c:v>
                </c:pt>
                <c:pt idx="5">
                  <c:v>0.91608205796869657</c:v>
                </c:pt>
                <c:pt idx="6">
                  <c:v>0.96649146469115887</c:v>
                </c:pt>
                <c:pt idx="7">
                  <c:v>0.98809549614364256</c:v>
                </c:pt>
                <c:pt idx="8">
                  <c:v>0.996197007938324</c:v>
                </c:pt>
                <c:pt idx="9">
                  <c:v>0.99889751186988451</c:v>
                </c:pt>
                <c:pt idx="10">
                  <c:v>0.99970766304935266</c:v>
                </c:pt>
                <c:pt idx="11">
                  <c:v>0.99992861337102579</c:v>
                </c:pt>
                <c:pt idx="12">
                  <c:v>0.99998385095144404</c:v>
                </c:pt>
                <c:pt idx="13">
                  <c:v>0.99999659808538677</c:v>
                </c:pt>
                <c:pt idx="14">
                  <c:v>0.99999932961408877</c:v>
                </c:pt>
                <c:pt idx="15">
                  <c:v>0.9999998759198292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E-4C24-A11C-64FD221A0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133600"/>
        <c:axId val="1412133272"/>
      </c:scatterChart>
      <c:catAx>
        <c:axId val="89838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752"/>
        <c:crosses val="autoZero"/>
        <c:auto val="1"/>
        <c:lblAlgn val="ctr"/>
        <c:lblOffset val="100"/>
        <c:tickLblSkip val="1"/>
        <c:noMultiLvlLbl val="0"/>
      </c:catAx>
      <c:valAx>
        <c:axId val="898386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016"/>
        <c:crosses val="autoZero"/>
        <c:crossBetween val="between"/>
      </c:valAx>
      <c:valAx>
        <c:axId val="1412133272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133600"/>
        <c:crosses val="max"/>
        <c:crossBetween val="midCat"/>
      </c:valAx>
      <c:valAx>
        <c:axId val="141213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2133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0416666666666663"/>
          <c:y val="0.56076844561096528"/>
          <c:w val="0.21296888670166228"/>
          <c:h val="0.244620151647710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Power function is not a probability </a:t>
            </a:r>
            <a:br>
              <a:rPr lang="en-US" sz="1200" baseline="0"/>
            </a:br>
            <a:r>
              <a:rPr lang="en-US" sz="1200" baseline="0"/>
              <a:t>(unless we compel it !)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'[40]QA2-YT-pdf-CFD (video)_arch'!$D$78</c:f>
              <c:strCache>
                <c:ptCount val="1"/>
                <c:pt idx="0">
                  <c:v>aX^2</c:v>
                </c:pt>
              </c:strCache>
            </c:strRef>
          </c:tx>
          <c:spPr>
            <a:ln w="508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(video)_arch'!$C$79:$C$99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'[40]QA2-YT-pdf-CFD (video)_arch'!$D$79:$D$99</c:f>
              <c:numCache>
                <c:formatCode>General</c:formatCode>
                <c:ptCount val="21"/>
                <c:pt idx="0">
                  <c:v>0</c:v>
                </c:pt>
                <c:pt idx="1">
                  <c:v>2.9296875E-3</c:v>
                </c:pt>
                <c:pt idx="2">
                  <c:v>1.171875E-2</c:v>
                </c:pt>
                <c:pt idx="3">
                  <c:v>2.63671875E-2</c:v>
                </c:pt>
                <c:pt idx="4">
                  <c:v>4.6875E-2</c:v>
                </c:pt>
                <c:pt idx="5">
                  <c:v>7.32421875E-2</c:v>
                </c:pt>
                <c:pt idx="6">
                  <c:v>0.10546875</c:v>
                </c:pt>
                <c:pt idx="7">
                  <c:v>0.1435546875</c:v>
                </c:pt>
                <c:pt idx="8">
                  <c:v>0.1875</c:v>
                </c:pt>
                <c:pt idx="9">
                  <c:v>0.2373046875</c:v>
                </c:pt>
                <c:pt idx="10">
                  <c:v>0.29296875</c:v>
                </c:pt>
                <c:pt idx="11">
                  <c:v>0.3544921875</c:v>
                </c:pt>
                <c:pt idx="12">
                  <c:v>0.421875</c:v>
                </c:pt>
                <c:pt idx="13">
                  <c:v>0.4951171875</c:v>
                </c:pt>
                <c:pt idx="14">
                  <c:v>0.57421875</c:v>
                </c:pt>
                <c:pt idx="15">
                  <c:v>0.6591796875</c:v>
                </c:pt>
                <c:pt idx="16">
                  <c:v>0.75</c:v>
                </c:pt>
                <c:pt idx="17">
                  <c:v>0.8466796875</c:v>
                </c:pt>
                <c:pt idx="18">
                  <c:v>0.94921875</c:v>
                </c:pt>
                <c:pt idx="19">
                  <c:v>1.0576171875</c:v>
                </c:pt>
                <c:pt idx="20">
                  <c:v>1.171875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59-40E2-B1C6-60676468BFBB}"/>
            </c:ext>
          </c:extLst>
        </c:ser>
        <c:ser>
          <c:idx val="2"/>
          <c:order val="1"/>
          <c:tx>
            <c:strRef>
              <c:f>'[40]QA2-YT-pdf-CFD (video)_arch'!$E$78</c:f>
              <c:strCache>
                <c:ptCount val="1"/>
                <c:pt idx="0">
                  <c:v>aX^3/3</c:v>
                </c:pt>
              </c:strCache>
            </c:strRef>
          </c:tx>
          <c:spPr>
            <a:ln w="508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'[40]QA2-YT-pdf-CFD (video)_arch'!$C$79:$C$99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'[40]QA2-YT-pdf-CFD (video)_arch'!$E$79:$E$99</c:f>
              <c:numCache>
                <c:formatCode>General</c:formatCode>
                <c:ptCount val="21"/>
                <c:pt idx="0">
                  <c:v>0</c:v>
                </c:pt>
                <c:pt idx="1">
                  <c:v>2.44140625E-4</c:v>
                </c:pt>
                <c:pt idx="2">
                  <c:v>1.953125E-3</c:v>
                </c:pt>
                <c:pt idx="3">
                  <c:v>6.591796875E-3</c:v>
                </c:pt>
                <c:pt idx="4">
                  <c:v>1.5625E-2</c:v>
                </c:pt>
                <c:pt idx="5">
                  <c:v>3.0517578125E-2</c:v>
                </c:pt>
                <c:pt idx="6">
                  <c:v>5.2734375E-2</c:v>
                </c:pt>
                <c:pt idx="7">
                  <c:v>8.3740234375E-2</c:v>
                </c:pt>
                <c:pt idx="8">
                  <c:v>0.125</c:v>
                </c:pt>
                <c:pt idx="9">
                  <c:v>0.177978515625</c:v>
                </c:pt>
                <c:pt idx="10">
                  <c:v>0.244140625</c:v>
                </c:pt>
                <c:pt idx="11">
                  <c:v>0.324951171875</c:v>
                </c:pt>
                <c:pt idx="12">
                  <c:v>0.421875</c:v>
                </c:pt>
                <c:pt idx="13">
                  <c:v>0.536376953125</c:v>
                </c:pt>
                <c:pt idx="14">
                  <c:v>0.669921875</c:v>
                </c:pt>
                <c:pt idx="15">
                  <c:v>0.823974609375</c:v>
                </c:pt>
                <c:pt idx="16">
                  <c:v>1</c:v>
                </c:pt>
                <c:pt idx="17">
                  <c:v>1.199462890625</c:v>
                </c:pt>
                <c:pt idx="18">
                  <c:v>1.423828125</c:v>
                </c:pt>
                <c:pt idx="19">
                  <c:v>1.674560546875</c:v>
                </c:pt>
                <c:pt idx="20">
                  <c:v>1.953125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59-40E2-B1C6-60676468BFBB}"/>
            </c:ext>
          </c:extLst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'[40]QA2-YT-pdf-CFD (video)_arch'!$C$116</c:f>
              <c:numCache>
                <c:formatCode>General</c:formatCode>
                <c:ptCount val="1"/>
                <c:pt idx="0">
                  <c:v>2.9955900531367754</c:v>
                </c:pt>
              </c:numCache>
            </c:numRef>
          </c:xVal>
          <c:yVal>
            <c:numRef>
              <c:f>'[40]QA2-YT-pdf-CFD (video)_arch'!$D$116</c:f>
              <c:numCache>
                <c:formatCode>General</c:formatCode>
                <c:ptCount val="1"/>
                <c:pt idx="0">
                  <c:v>0.42063561405243699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59-40E2-B1C6-60676468BFB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0"/>
            <c:spPr>
              <a:solidFill>
                <a:srgbClr val="0070C0"/>
              </a:solidFill>
              <a:ln w="9525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'[40]QA2-YT-pdf-CFD (video)_arch'!$C$116</c:f>
              <c:numCache>
                <c:formatCode>General</c:formatCode>
                <c:ptCount val="1"/>
                <c:pt idx="0">
                  <c:v>2.9955900531367754</c:v>
                </c:pt>
              </c:numCache>
            </c:numRef>
          </c:xVal>
          <c:yVal>
            <c:numRef>
              <c:f>'[40]QA2-YT-pdf-CFD (video)_arch'!$E$116</c:f>
              <c:numCache>
                <c:formatCode>General</c:formatCode>
                <c:ptCount val="1"/>
                <c:pt idx="0">
                  <c:v>0.42001728715018666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F59-40E2-B1C6-60676468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86016"/>
        <c:axId val="898386752"/>
      </c:scatterChart>
      <c:valAx>
        <c:axId val="898386016"/>
        <c:scaling>
          <c:orientation val="minMax"/>
          <c:max val="4"/>
          <c:min val="0"/>
        </c:scaling>
        <c:delete val="0"/>
        <c:axPos val="b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752"/>
        <c:crosses val="autoZero"/>
        <c:crossBetween val="midCat"/>
        <c:majorUnit val="1"/>
      </c:valAx>
      <c:valAx>
        <c:axId val="898386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38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194444444444445"/>
          <c:y val="0.26484725867599884"/>
          <c:w val="0.37458388013998251"/>
          <c:h val="0.2160921551472732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'20.4.1'!$B$9:$B$13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'20.4.1'!$C$9:$C$13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6-47FA-952C-7BEA35A2CD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6054304"/>
        <c:axId val="866051024"/>
      </c:barChart>
      <c:catAx>
        <c:axId val="8660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51024"/>
        <c:crosses val="autoZero"/>
        <c:auto val="1"/>
        <c:lblAlgn val="ctr"/>
        <c:lblOffset val="100"/>
        <c:noMultiLvlLbl val="0"/>
      </c:catAx>
      <c:valAx>
        <c:axId val="86605102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5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9562554680665"/>
          <c:y val="9.0485928842228058E-2"/>
          <c:w val="0.81744881889763776"/>
          <c:h val="0.73744002031709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'20.4.1'!$B$9:$B$13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'20.4.1'!$D$9:$D$13</c:f>
              <c:numCache>
                <c:formatCode>0.0%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A-41A9-A989-0C0EF3820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1749648"/>
        <c:axId val="971750304"/>
      </c:barChart>
      <c:catAx>
        <c:axId val="97174964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750304"/>
        <c:crosses val="autoZero"/>
        <c:auto val="1"/>
        <c:lblAlgn val="ctr"/>
        <c:lblOffset val="100"/>
        <c:noMultiLvlLbl val="0"/>
      </c:catAx>
      <c:valAx>
        <c:axId val="97175030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74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5">
                    <a:lumMod val="75000"/>
                  </a:schemeClr>
                </a:solidFill>
              </a:rPr>
              <a:t>probability</a:t>
            </a:r>
            <a:r>
              <a:rPr lang="en-US" sz="1400" baseline="0">
                <a:solidFill>
                  <a:schemeClr val="accent5">
                    <a:lumMod val="75000"/>
                  </a:schemeClr>
                </a:solidFill>
              </a:rPr>
              <a:t> density function, pdf</a:t>
            </a:r>
            <a:endParaRPr lang="en-US" sz="1400">
              <a:solidFill>
                <a:schemeClr val="accent5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'20.40.3'!$B$5:$B$35</c:f>
              <c:numCache>
                <c:formatCode>_(* #,##0.0_);_(* \(#,##0.0\);_(* "-"??_);_(@_)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'20.40.3'!$C$5:$C$35</c:f>
              <c:numCache>
                <c:formatCode>_(* #,##0.00_);_(* \(#,##0.00\);_(* "-"??_);_(@_)</c:formatCode>
                <c:ptCount val="31"/>
                <c:pt idx="0">
                  <c:v>0.5</c:v>
                </c:pt>
                <c:pt idx="1">
                  <c:v>0.43555555555555547</c:v>
                </c:pt>
                <c:pt idx="2">
                  <c:v>0.37555555555555542</c:v>
                </c:pt>
                <c:pt idx="3">
                  <c:v>0.31999999999999984</c:v>
                </c:pt>
                <c:pt idx="4">
                  <c:v>0.26888888888888873</c:v>
                </c:pt>
                <c:pt idx="5">
                  <c:v>0.22222222222222207</c:v>
                </c:pt>
                <c:pt idx="6">
                  <c:v>0.17999999999999985</c:v>
                </c:pt>
                <c:pt idx="7">
                  <c:v>0.14222222222222211</c:v>
                </c:pt>
                <c:pt idx="8">
                  <c:v>0.1088888888888888</c:v>
                </c:pt>
                <c:pt idx="9">
                  <c:v>7.9999999999999932E-2</c:v>
                </c:pt>
                <c:pt idx="10">
                  <c:v>5.5555555555555504E-2</c:v>
                </c:pt>
                <c:pt idx="11">
                  <c:v>3.5555555555555514E-2</c:v>
                </c:pt>
                <c:pt idx="12">
                  <c:v>1.9999999999999976E-2</c:v>
                </c:pt>
                <c:pt idx="13">
                  <c:v>8.8888888888888715E-3</c:v>
                </c:pt>
                <c:pt idx="14">
                  <c:v>2.2222222222222135E-3</c:v>
                </c:pt>
                <c:pt idx="15">
                  <c:v>8.3884948688866262E-33</c:v>
                </c:pt>
                <c:pt idx="16">
                  <c:v>2.2222222222222309E-3</c:v>
                </c:pt>
                <c:pt idx="17">
                  <c:v>8.8888888888889062E-3</c:v>
                </c:pt>
                <c:pt idx="18">
                  <c:v>2.0000000000000025E-2</c:v>
                </c:pt>
                <c:pt idx="19">
                  <c:v>3.5555555555555597E-2</c:v>
                </c:pt>
                <c:pt idx="20">
                  <c:v>5.5555555555555601E-2</c:v>
                </c:pt>
                <c:pt idx="21">
                  <c:v>8.0000000000000057E-2</c:v>
                </c:pt>
                <c:pt idx="22">
                  <c:v>0.10888888888888894</c:v>
                </c:pt>
                <c:pt idx="23">
                  <c:v>0.14222222222222228</c:v>
                </c:pt>
                <c:pt idx="24">
                  <c:v>0.18000000000000005</c:v>
                </c:pt>
                <c:pt idx="25">
                  <c:v>0.22222222222222232</c:v>
                </c:pt>
                <c:pt idx="26">
                  <c:v>0.26888888888888901</c:v>
                </c:pt>
                <c:pt idx="27">
                  <c:v>0.32000000000000023</c:v>
                </c:pt>
                <c:pt idx="28">
                  <c:v>0.37555555555555581</c:v>
                </c:pt>
                <c:pt idx="29">
                  <c:v>0.43555555555555586</c:v>
                </c:pt>
                <c:pt idx="30">
                  <c:v>0.50000000000000033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98-4828-8091-73F98B8249E3}"/>
            </c:ext>
          </c:extLst>
        </c:ser>
        <c:ser>
          <c:idx val="0"/>
          <c:order val="1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'20.40.3'!$B$5:$B$35</c:f>
              <c:numCache>
                <c:formatCode>_(* #,##0.0_);_(* \(#,##0.0\);_(* "-"??_);_(@_)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'20.40.3'!$C$5:$C$35</c:f>
              <c:numCache>
                <c:formatCode>_(* #,##0.00_);_(* \(#,##0.00\);_(* "-"??_);_(@_)</c:formatCode>
                <c:ptCount val="31"/>
                <c:pt idx="0">
                  <c:v>0.5</c:v>
                </c:pt>
                <c:pt idx="1">
                  <c:v>0.43555555555555547</c:v>
                </c:pt>
                <c:pt idx="2">
                  <c:v>0.37555555555555542</c:v>
                </c:pt>
                <c:pt idx="3">
                  <c:v>0.31999999999999984</c:v>
                </c:pt>
                <c:pt idx="4">
                  <c:v>0.26888888888888873</c:v>
                </c:pt>
                <c:pt idx="5">
                  <c:v>0.22222222222222207</c:v>
                </c:pt>
                <c:pt idx="6">
                  <c:v>0.17999999999999985</c:v>
                </c:pt>
                <c:pt idx="7">
                  <c:v>0.14222222222222211</c:v>
                </c:pt>
                <c:pt idx="8">
                  <c:v>0.1088888888888888</c:v>
                </c:pt>
                <c:pt idx="9">
                  <c:v>7.9999999999999932E-2</c:v>
                </c:pt>
                <c:pt idx="10">
                  <c:v>5.5555555555555504E-2</c:v>
                </c:pt>
                <c:pt idx="11">
                  <c:v>3.5555555555555514E-2</c:v>
                </c:pt>
                <c:pt idx="12">
                  <c:v>1.9999999999999976E-2</c:v>
                </c:pt>
                <c:pt idx="13">
                  <c:v>8.8888888888888715E-3</c:v>
                </c:pt>
                <c:pt idx="14">
                  <c:v>2.2222222222222135E-3</c:v>
                </c:pt>
                <c:pt idx="15">
                  <c:v>8.3884948688866262E-33</c:v>
                </c:pt>
                <c:pt idx="16">
                  <c:v>2.2222222222222309E-3</c:v>
                </c:pt>
                <c:pt idx="17">
                  <c:v>8.8888888888889062E-3</c:v>
                </c:pt>
                <c:pt idx="18">
                  <c:v>2.0000000000000025E-2</c:v>
                </c:pt>
                <c:pt idx="19">
                  <c:v>3.5555555555555597E-2</c:v>
                </c:pt>
                <c:pt idx="20">
                  <c:v>5.5555555555555601E-2</c:v>
                </c:pt>
                <c:pt idx="21">
                  <c:v>8.0000000000000057E-2</c:v>
                </c:pt>
                <c:pt idx="22">
                  <c:v>0.10888888888888894</c:v>
                </c:pt>
                <c:pt idx="23">
                  <c:v>0.14222222222222228</c:v>
                </c:pt>
                <c:pt idx="24">
                  <c:v>0.18000000000000005</c:v>
                </c:pt>
                <c:pt idx="25">
                  <c:v>0.22222222222222232</c:v>
                </c:pt>
                <c:pt idx="26">
                  <c:v>0.26888888888888901</c:v>
                </c:pt>
                <c:pt idx="27">
                  <c:v>0.32000000000000023</c:v>
                </c:pt>
                <c:pt idx="28">
                  <c:v>0.37555555555555581</c:v>
                </c:pt>
                <c:pt idx="29">
                  <c:v>0.43555555555555586</c:v>
                </c:pt>
                <c:pt idx="30">
                  <c:v>0.50000000000000033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8-4828-8091-73F98B82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100560"/>
        <c:axId val="862100232"/>
      </c:scatterChart>
      <c:valAx>
        <c:axId val="862100560"/>
        <c:scaling>
          <c:orientation val="minMax"/>
          <c:max val="3"/>
          <c:min val="-3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100232"/>
        <c:crosses val="autoZero"/>
        <c:crossBetween val="midCat"/>
      </c:valAx>
      <c:valAx>
        <c:axId val="862100232"/>
        <c:scaling>
          <c:orientation val="minMax"/>
          <c:max val="0.5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100560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'20.40.3'!$B$5:$B$35</c:f>
              <c:numCache>
                <c:formatCode>_(* #,##0.0_);_(* \(#,##0.0\);_(* "-"??_);_(@_)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'20.40.3'!$D$5:$D$35</c:f>
              <c:numCache>
                <c:formatCode>_(* #,##0.00_);_(* \(#,##0.00\);_(* "-"??_);_(@_)</c:formatCode>
                <c:ptCount val="31"/>
                <c:pt idx="0">
                  <c:v>-0.5</c:v>
                </c:pt>
                <c:pt idx="1">
                  <c:v>-0.37111111111111095</c:v>
                </c:pt>
                <c:pt idx="2">
                  <c:v>-0.25111111111111084</c:v>
                </c:pt>
                <c:pt idx="3">
                  <c:v>-0.13999999999999968</c:v>
                </c:pt>
                <c:pt idx="4">
                  <c:v>-3.7777777777777466E-2</c:v>
                </c:pt>
                <c:pt idx="5">
                  <c:v>5.5555555555555858E-2</c:v>
                </c:pt>
                <c:pt idx="6">
                  <c:v>0.14000000000000029</c:v>
                </c:pt>
                <c:pt idx="7">
                  <c:v>0.21555555555555572</c:v>
                </c:pt>
                <c:pt idx="8">
                  <c:v>0.28222222222222237</c:v>
                </c:pt>
                <c:pt idx="9">
                  <c:v>0.34000000000000014</c:v>
                </c:pt>
                <c:pt idx="10">
                  <c:v>0.38888888888888901</c:v>
                </c:pt>
                <c:pt idx="11">
                  <c:v>0.42888888888888899</c:v>
                </c:pt>
                <c:pt idx="12">
                  <c:v>0.46000000000000008</c:v>
                </c:pt>
                <c:pt idx="13">
                  <c:v>0.48222222222222227</c:v>
                </c:pt>
                <c:pt idx="14">
                  <c:v>0.49555555555555558</c:v>
                </c:pt>
                <c:pt idx="15">
                  <c:v>0.5</c:v>
                </c:pt>
                <c:pt idx="16">
                  <c:v>0.49555555555555553</c:v>
                </c:pt>
                <c:pt idx="17">
                  <c:v>0.48222222222222216</c:v>
                </c:pt>
                <c:pt idx="18">
                  <c:v>0.45999999999999996</c:v>
                </c:pt>
                <c:pt idx="19">
                  <c:v>0.42888888888888882</c:v>
                </c:pt>
                <c:pt idx="20">
                  <c:v>0.38888888888888878</c:v>
                </c:pt>
                <c:pt idx="21">
                  <c:v>0.33999999999999986</c:v>
                </c:pt>
                <c:pt idx="22">
                  <c:v>0.2822222222222221</c:v>
                </c:pt>
                <c:pt idx="23">
                  <c:v>0.21555555555555544</c:v>
                </c:pt>
                <c:pt idx="24">
                  <c:v>0.1399999999999999</c:v>
                </c:pt>
                <c:pt idx="25">
                  <c:v>5.5555555555555358E-2</c:v>
                </c:pt>
                <c:pt idx="26">
                  <c:v>-3.7777777777778021E-2</c:v>
                </c:pt>
                <c:pt idx="27">
                  <c:v>-0.14000000000000046</c:v>
                </c:pt>
                <c:pt idx="28">
                  <c:v>-0.25111111111111173</c:v>
                </c:pt>
                <c:pt idx="29">
                  <c:v>-0.37111111111111184</c:v>
                </c:pt>
                <c:pt idx="30">
                  <c:v>-0.50000000000000089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B-41AD-8378-A876835FC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100560"/>
        <c:axId val="862100232"/>
      </c:scatterChart>
      <c:valAx>
        <c:axId val="86210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100232"/>
        <c:crosses val="autoZero"/>
        <c:crossBetween val="midCat"/>
      </c:valAx>
      <c:valAx>
        <c:axId val="86210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10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6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6">
                    <a:lumMod val="75000"/>
                  </a:schemeClr>
                </a:solidFill>
              </a:rPr>
              <a:t>Cumulative Distribution Function, CDF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381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'20.40.3'!$B$5:$B$35</c:f>
              <c:numCache>
                <c:formatCode>_(* #,##0.0_);_(* \(#,##0.0\);_(* "-"??_);_(@_)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'20.40.3'!$E$5:$E$35</c:f>
              <c:numCache>
                <c:formatCode>_(* #,##0.0_);_(* \(#,##0.0\);_(* "-"?_);_(@_)</c:formatCode>
                <c:ptCount val="31"/>
                <c:pt idx="0">
                  <c:v>0</c:v>
                </c:pt>
                <c:pt idx="1">
                  <c:v>9.3481481481481554E-2</c:v>
                </c:pt>
                <c:pt idx="2">
                  <c:v>0.17451851851851863</c:v>
                </c:pt>
                <c:pt idx="3">
                  <c:v>0.24400000000000022</c:v>
                </c:pt>
                <c:pt idx="4">
                  <c:v>0.30281481481481498</c:v>
                </c:pt>
                <c:pt idx="5">
                  <c:v>0.35185185185185197</c:v>
                </c:pt>
                <c:pt idx="6">
                  <c:v>0.39200000000000013</c:v>
                </c:pt>
                <c:pt idx="7">
                  <c:v>0.42414814814814822</c:v>
                </c:pt>
                <c:pt idx="8">
                  <c:v>0.44918518518518524</c:v>
                </c:pt>
                <c:pt idx="9">
                  <c:v>0.46800000000000003</c:v>
                </c:pt>
                <c:pt idx="10">
                  <c:v>0.48148148148148151</c:v>
                </c:pt>
                <c:pt idx="11">
                  <c:v>0.49051851851851852</c:v>
                </c:pt>
                <c:pt idx="12">
                  <c:v>0.496</c:v>
                </c:pt>
                <c:pt idx="13">
                  <c:v>0.49881481481481482</c:v>
                </c:pt>
                <c:pt idx="14">
                  <c:v>0.49985185185185182</c:v>
                </c:pt>
                <c:pt idx="15">
                  <c:v>0.5</c:v>
                </c:pt>
                <c:pt idx="16">
                  <c:v>0.50014814814814812</c:v>
                </c:pt>
                <c:pt idx="17">
                  <c:v>0.50118518518518518</c:v>
                </c:pt>
                <c:pt idx="18">
                  <c:v>0.504</c:v>
                </c:pt>
                <c:pt idx="19">
                  <c:v>0.50948148148148154</c:v>
                </c:pt>
                <c:pt idx="20">
                  <c:v>0.51851851851851849</c:v>
                </c:pt>
                <c:pt idx="21">
                  <c:v>0.53200000000000003</c:v>
                </c:pt>
                <c:pt idx="22">
                  <c:v>0.55081481481481487</c:v>
                </c:pt>
                <c:pt idx="23">
                  <c:v>0.57585185185185184</c:v>
                </c:pt>
                <c:pt idx="24">
                  <c:v>0.6080000000000001</c:v>
                </c:pt>
                <c:pt idx="25">
                  <c:v>0.64814814814814825</c:v>
                </c:pt>
                <c:pt idx="26">
                  <c:v>0.69718518518518535</c:v>
                </c:pt>
                <c:pt idx="27">
                  <c:v>0.75600000000000023</c:v>
                </c:pt>
                <c:pt idx="28">
                  <c:v>0.82548148148148182</c:v>
                </c:pt>
                <c:pt idx="29">
                  <c:v>0.90651851851851895</c:v>
                </c:pt>
                <c:pt idx="30">
                  <c:v>1.0000000000000004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7-4C8F-AB4B-773D10B4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100560"/>
        <c:axId val="862100232"/>
      </c:scatterChart>
      <c:valAx>
        <c:axId val="862100560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100232"/>
        <c:crosses val="autoZero"/>
        <c:crossBetween val="midCat"/>
        <c:majorUnit val="1"/>
        <c:minorUnit val="0.2"/>
      </c:valAx>
      <c:valAx>
        <c:axId val="86210023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100560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X=0 is twice as likely as X=1.0 is twice as</a:t>
            </a:r>
            <a:br>
              <a:rPr lang="en-US" sz="1400"/>
            </a:br>
            <a:r>
              <a:rPr lang="en-US" sz="1400"/>
              <a:t>likely as X=2.0 is twice as likely as X=3.0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'710.2'!$K$13:$K$16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'710.2'!$L$13:$L$16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E24-A741-DB452805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171432"/>
        <c:axId val="707170776"/>
      </c:barChart>
      <c:catAx>
        <c:axId val="70717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170776"/>
        <c:crosses val="autoZero"/>
        <c:auto val="1"/>
        <c:lblAlgn val="ctr"/>
        <c:lblOffset val="100"/>
        <c:noMultiLvlLbl val="0"/>
      </c:catAx>
      <c:valAx>
        <c:axId val="707170776"/>
        <c:scaling>
          <c:orientation val="minMax"/>
        </c:scaling>
        <c:delete val="1"/>
        <c:axPos val="l"/>
        <c:majorGridlines>
          <c:spPr>
            <a:ln w="381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70717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Probability distribution of returns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8482869013571"/>
          <c:y val="0.21803054163684085"/>
          <c:w val="0.82413026846980453"/>
          <c:h val="0.56126175137198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'712-1-skew'!$C$22:$C$26</c:f>
              <c:numCache>
                <c:formatCode>0.0</c:formatCode>
                <c:ptCount val="5"/>
                <c:pt idx="0">
                  <c:v>-20</c:v>
                </c:pt>
                <c:pt idx="1">
                  <c:v>-8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'712-1-skew'!$D$22:$D$26</c:f>
              <c:numCache>
                <c:formatCode>0.0%</c:formatCode>
                <c:ptCount val="5"/>
                <c:pt idx="0">
                  <c:v>0.1</c:v>
                </c:pt>
                <c:pt idx="1">
                  <c:v>0.15</c:v>
                </c:pt>
                <c:pt idx="2">
                  <c:v>0.45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E-441E-AC90-BBA3291C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1877160"/>
        <c:axId val="881964584"/>
      </c:barChart>
      <c:catAx>
        <c:axId val="881877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Return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964584"/>
        <c:crosses val="autoZero"/>
        <c:auto val="1"/>
        <c:lblAlgn val="ctr"/>
        <c:lblOffset val="100"/>
        <c:noMultiLvlLbl val="0"/>
      </c:catAx>
      <c:valAx>
        <c:axId val="88196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87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Binomial distribution</a:t>
            </a:r>
          </a:p>
          <a:p>
            <a:pPr>
              <a:defRPr sz="1200"/>
            </a:pPr>
            <a:r>
              <a:rPr lang="en-US" sz="1200"/>
              <a:t>Two params: all p = 0.10, various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'QA3-binomial'!$E$8</c:f>
              <c:strCache>
                <c:ptCount val="1"/>
                <c:pt idx="0">
                  <c:v>N = 100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'QA3-binomial'!$B$9:$B$29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'QA3-binomial'!$E$9:$E$29</c:f>
              <c:numCache>
                <c:formatCode>0.00</c:formatCode>
                <c:ptCount val="21"/>
                <c:pt idx="0">
                  <c:v>2.6561398887587476E-5</c:v>
                </c:pt>
                <c:pt idx="1">
                  <c:v>2.9512665430652773E-4</c:v>
                </c:pt>
                <c:pt idx="2">
                  <c:v>1.6231965986859046E-3</c:v>
                </c:pt>
                <c:pt idx="3">
                  <c:v>5.8916024693043889E-3</c:v>
                </c:pt>
                <c:pt idx="4">
                  <c:v>1.5874595542292376E-2</c:v>
                </c:pt>
                <c:pt idx="5">
                  <c:v>3.3865803823557049E-2</c:v>
                </c:pt>
                <c:pt idx="6">
                  <c:v>5.9578728948850357E-2</c:v>
                </c:pt>
                <c:pt idx="7">
                  <c:v>8.889524636812593E-2</c:v>
                </c:pt>
                <c:pt idx="8">
                  <c:v>0.11482302655882935</c:v>
                </c:pt>
                <c:pt idx="9">
                  <c:v>0.1304162770791642</c:v>
                </c:pt>
                <c:pt idx="10">
                  <c:v>0.13186534682448822</c:v>
                </c:pt>
                <c:pt idx="11">
                  <c:v>0.11987758802226202</c:v>
                </c:pt>
                <c:pt idx="12">
                  <c:v>9.8788012351678889E-2</c:v>
                </c:pt>
                <c:pt idx="13">
                  <c:v>7.4302094760237067E-2</c:v>
                </c:pt>
                <c:pt idx="14">
                  <c:v>5.1303827334449464E-2</c:v>
                </c:pt>
                <c:pt idx="15">
                  <c:v>3.2682438153797441E-2</c:v>
                </c:pt>
                <c:pt idx="16">
                  <c:v>1.9291716965783169E-2</c:v>
                </c:pt>
                <c:pt idx="17">
                  <c:v>1.0591530883175089E-2</c:v>
                </c:pt>
                <c:pt idx="18">
                  <c:v>5.4265250821205688E-3</c:v>
                </c:pt>
                <c:pt idx="19">
                  <c:v>2.6021933142332623E-3</c:v>
                </c:pt>
                <c:pt idx="20">
                  <c:v>1.1709869914049654E-3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0-4628-BFE2-86E9D794DA2F}"/>
            </c:ext>
          </c:extLst>
        </c:ser>
        <c:ser>
          <c:idx val="2"/>
          <c:order val="1"/>
          <c:tx>
            <c:strRef>
              <c:f>'QA3-binomial'!$D$8</c:f>
              <c:strCache>
                <c:ptCount val="1"/>
                <c:pt idx="0">
                  <c:v>N = 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'QA3-binomial'!$B$9:$B$29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'QA3-binomial'!$D$9:$D$29</c:f>
              <c:numCache>
                <c:formatCode>0.00</c:formatCode>
                <c:ptCount val="21"/>
                <c:pt idx="0">
                  <c:v>5.1537752073201135E-3</c:v>
                </c:pt>
                <c:pt idx="1">
                  <c:v>2.8632084485111769E-2</c:v>
                </c:pt>
                <c:pt idx="2">
                  <c:v>7.7942896653915308E-2</c:v>
                </c:pt>
                <c:pt idx="3">
                  <c:v>0.13856514960696051</c:v>
                </c:pt>
                <c:pt idx="4">
                  <c:v>0.18090450087575405</c:v>
                </c:pt>
                <c:pt idx="5">
                  <c:v>0.18492460089521523</c:v>
                </c:pt>
                <c:pt idx="6">
                  <c:v>0.15410383407934602</c:v>
                </c:pt>
                <c:pt idx="7">
                  <c:v>0.10762807459509882</c:v>
                </c:pt>
                <c:pt idx="8">
                  <c:v>6.427787788318394E-2</c:v>
                </c:pt>
                <c:pt idx="9">
                  <c:v>3.3329270013502811E-2</c:v>
                </c:pt>
                <c:pt idx="10">
                  <c:v>1.5183334117262394E-2</c:v>
                </c:pt>
                <c:pt idx="11">
                  <c:v>6.1346804514191451E-3</c:v>
                </c:pt>
                <c:pt idx="12">
                  <c:v>2.2153012741235817E-3</c:v>
                </c:pt>
                <c:pt idx="13">
                  <c:v>7.1949955911706056E-4</c:v>
                </c:pt>
                <c:pt idx="14">
                  <c:v>2.1128161656612144E-4</c:v>
                </c:pt>
                <c:pt idx="15">
                  <c:v>5.6341764417632174E-5</c:v>
                </c:pt>
                <c:pt idx="16">
                  <c:v>1.3694178851507846E-5</c:v>
                </c:pt>
                <c:pt idx="17">
                  <c:v>3.0431508558906323E-6</c:v>
                </c:pt>
                <c:pt idx="18">
                  <c:v>6.1990110027401786E-7</c:v>
                </c:pt>
                <c:pt idx="19">
                  <c:v>1.160048842618044E-7</c:v>
                </c:pt>
                <c:pt idx="20">
                  <c:v>1.9978618956199636E-8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0-4628-BFE2-86E9D794DA2F}"/>
            </c:ext>
          </c:extLst>
        </c:ser>
        <c:ser>
          <c:idx val="0"/>
          <c:order val="2"/>
          <c:tx>
            <c:strRef>
              <c:f>'QA3-binomial'!$C$8</c:f>
              <c:strCache>
                <c:ptCount val="1"/>
                <c:pt idx="0">
                  <c:v>N = 10</c:v>
                </c:pt>
              </c:strCache>
            </c:strRef>
          </c:tx>
          <c:spPr>
            <a:solidFill>
              <a:srgbClr val="4F81BD">
                <a:alpha val="69804"/>
              </a:srgbClr>
            </a:solidFill>
            <a:ln>
              <a:noFill/>
            </a:ln>
            <a:effectLst/>
          </c:spPr>
          <c:invertIfNegative val="0"/>
          <c:cat>
            <c:numRef>
              <c:f>'QA3-binomial'!$B$9:$B$29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'QA3-binomial'!$C$9:$C$29</c:f>
              <c:numCache>
                <c:formatCode>0.00</c:formatCode>
                <c:ptCount val="21"/>
                <c:pt idx="0">
                  <c:v>0.34867844009999993</c:v>
                </c:pt>
                <c:pt idx="1">
                  <c:v>0.38742048899999998</c:v>
                </c:pt>
                <c:pt idx="2">
                  <c:v>0.19371024450000005</c:v>
                </c:pt>
                <c:pt idx="3">
                  <c:v>5.739562799999999E-2</c:v>
                </c:pt>
                <c:pt idx="4">
                  <c:v>1.1160261000000003E-2</c:v>
                </c:pt>
                <c:pt idx="5">
                  <c:v>1.4880348000000001E-3</c:v>
                </c:pt>
                <c:pt idx="6">
                  <c:v>1.3778099999999988E-4</c:v>
                </c:pt>
                <c:pt idx="7">
                  <c:v>8.7480000000000084E-6</c:v>
                </c:pt>
                <c:pt idx="8">
                  <c:v>3.6450000000000065E-7</c:v>
                </c:pt>
                <c:pt idx="9">
                  <c:v>8.9999999999999962E-9</c:v>
                </c:pt>
                <c:pt idx="10">
                  <c:v>1.0000000000000031E-10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0-4628-BFE2-86E9D794D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5"/>
        <c:axId val="1045612680"/>
        <c:axId val="1045605792"/>
      </c:barChart>
      <c:catAx>
        <c:axId val="104561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5"/>
        <c:noMultiLvlLbl val="0"/>
      </c:catAx>
      <c:valAx>
        <c:axId val="104560579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87762467191612"/>
          <c:y val="0.29349372995042289"/>
          <c:w val="0.23305094675665544"/>
          <c:h val="0.2708825459317585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Poisson distribution</a:t>
            </a:r>
          </a:p>
          <a:p>
            <a:pPr>
              <a:defRPr sz="1200"/>
            </a:pPr>
            <a:r>
              <a:rPr lang="en-US" sz="1200"/>
              <a:t>One param: lambda, 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'QA3-Poisson'!$E$8</c:f>
              <c:strCache>
                <c:ptCount val="1"/>
                <c:pt idx="0">
                  <c:v>λ = 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'QA3-Poisson'!$B$9:$B$29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'QA3-Poisson'!$E$9:$E$29</c:f>
              <c:numCache>
                <c:formatCode>0.00</c:formatCode>
                <c:ptCount val="21"/>
                <c:pt idx="0">
                  <c:v>4.5399929762484854E-5</c:v>
                </c:pt>
                <c:pt idx="1">
                  <c:v>4.5399929762484861E-4</c:v>
                </c:pt>
                <c:pt idx="2">
                  <c:v>2.2699964881242444E-3</c:v>
                </c:pt>
                <c:pt idx="3">
                  <c:v>7.5666549604141483E-3</c:v>
                </c:pt>
                <c:pt idx="4">
                  <c:v>1.8916637401035354E-2</c:v>
                </c:pt>
                <c:pt idx="5">
                  <c:v>3.7833274802070715E-2</c:v>
                </c:pt>
                <c:pt idx="6">
                  <c:v>6.3055458003451192E-2</c:v>
                </c:pt>
                <c:pt idx="7">
                  <c:v>9.0079225719215977E-2</c:v>
                </c:pt>
                <c:pt idx="8">
                  <c:v>0.11259903214901996</c:v>
                </c:pt>
                <c:pt idx="9">
                  <c:v>0.1251100357211333</c:v>
                </c:pt>
                <c:pt idx="10">
                  <c:v>0.1251100357211333</c:v>
                </c:pt>
                <c:pt idx="11">
                  <c:v>0.11373639611012118</c:v>
                </c:pt>
                <c:pt idx="12">
                  <c:v>9.4780330091767673E-2</c:v>
                </c:pt>
                <c:pt idx="13">
                  <c:v>7.2907946224436637E-2</c:v>
                </c:pt>
                <c:pt idx="14">
                  <c:v>5.2077104446026187E-2</c:v>
                </c:pt>
                <c:pt idx="15">
                  <c:v>3.4718069630684127E-2</c:v>
                </c:pt>
                <c:pt idx="16">
                  <c:v>2.1698793519177549E-2</c:v>
                </c:pt>
                <c:pt idx="17">
                  <c:v>1.2763996187751522E-2</c:v>
                </c:pt>
                <c:pt idx="18">
                  <c:v>7.0911089931952852E-3</c:v>
                </c:pt>
                <c:pt idx="19">
                  <c:v>3.7321626279975249E-3</c:v>
                </c:pt>
                <c:pt idx="20">
                  <c:v>1.8660813139987594E-3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C5E-9B32-4F56F5D25FAD}"/>
            </c:ext>
          </c:extLst>
        </c:ser>
        <c:ser>
          <c:idx val="2"/>
          <c:order val="1"/>
          <c:tx>
            <c:strRef>
              <c:f>'QA3-Poisson'!$D$8</c:f>
              <c:strCache>
                <c:ptCount val="1"/>
                <c:pt idx="0">
                  <c:v>λ = 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'QA3-Poisson'!$B$9:$B$29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'QA3-Poisson'!$D$9:$D$29</c:f>
              <c:numCache>
                <c:formatCode>0.00</c:formatCode>
                <c:ptCount val="21"/>
                <c:pt idx="0">
                  <c:v>1.8315638888734179E-2</c:v>
                </c:pt>
                <c:pt idx="1">
                  <c:v>7.3262555554936715E-2</c:v>
                </c:pt>
                <c:pt idx="2">
                  <c:v>0.14652511110987346</c:v>
                </c:pt>
                <c:pt idx="3">
                  <c:v>0.19536681481316462</c:v>
                </c:pt>
                <c:pt idx="4">
                  <c:v>0.19536681481316462</c:v>
                </c:pt>
                <c:pt idx="5">
                  <c:v>0.1562934518505317</c:v>
                </c:pt>
                <c:pt idx="6">
                  <c:v>0.10419563456702115</c:v>
                </c:pt>
                <c:pt idx="7">
                  <c:v>5.9540362609726373E-2</c:v>
                </c:pt>
                <c:pt idx="8">
                  <c:v>2.9770181304863183E-2</c:v>
                </c:pt>
                <c:pt idx="9">
                  <c:v>1.3231191691050297E-2</c:v>
                </c:pt>
                <c:pt idx="10">
                  <c:v>5.2924766764201169E-3</c:v>
                </c:pt>
                <c:pt idx="11">
                  <c:v>1.9245369732436813E-3</c:v>
                </c:pt>
                <c:pt idx="12">
                  <c:v>6.4151232441456022E-4</c:v>
                </c:pt>
                <c:pt idx="13">
                  <c:v>1.9738840751217212E-4</c:v>
                </c:pt>
                <c:pt idx="14">
                  <c:v>5.6396687860620615E-5</c:v>
                </c:pt>
                <c:pt idx="15">
                  <c:v>1.5039116762832177E-5</c:v>
                </c:pt>
                <c:pt idx="16">
                  <c:v>3.7597791907080502E-6</c:v>
                </c:pt>
                <c:pt idx="17">
                  <c:v>8.8465392722542387E-7</c:v>
                </c:pt>
                <c:pt idx="18">
                  <c:v>1.9658976160564875E-7</c:v>
                </c:pt>
                <c:pt idx="19">
                  <c:v>4.1387318232768188E-8</c:v>
                </c:pt>
                <c:pt idx="20">
                  <c:v>8.2774636465536645E-9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6-4C5E-9B32-4F56F5D25FAD}"/>
            </c:ext>
          </c:extLst>
        </c:ser>
        <c:ser>
          <c:idx val="0"/>
          <c:order val="2"/>
          <c:tx>
            <c:strRef>
              <c:f>'QA3-Poisson'!$C$8</c:f>
              <c:strCache>
                <c:ptCount val="1"/>
                <c:pt idx="0">
                  <c:v>λ = 2</c:v>
                </c:pt>
              </c:strCache>
            </c:strRef>
          </c:tx>
          <c:spPr>
            <a:solidFill>
              <a:srgbClr val="4F81BD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numRef>
              <c:f>'QA3-Poisson'!$B$9:$B$29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'QA3-Poisson'!$C$9:$C$29</c:f>
              <c:numCache>
                <c:formatCode>0.00</c:formatCode>
                <c:ptCount val="21"/>
                <c:pt idx="0">
                  <c:v>0.1353352832366127</c:v>
                </c:pt>
                <c:pt idx="1">
                  <c:v>0.27067056647322535</c:v>
                </c:pt>
                <c:pt idx="2">
                  <c:v>0.27067056647322546</c:v>
                </c:pt>
                <c:pt idx="3">
                  <c:v>0.18044704431548364</c:v>
                </c:pt>
                <c:pt idx="4">
                  <c:v>9.022352215774182E-2</c:v>
                </c:pt>
                <c:pt idx="5">
                  <c:v>3.6089408863096716E-2</c:v>
                </c:pt>
                <c:pt idx="6">
                  <c:v>1.2029802954365572E-2</c:v>
                </c:pt>
                <c:pt idx="7">
                  <c:v>3.4370865583901629E-3</c:v>
                </c:pt>
                <c:pt idx="8">
                  <c:v>8.5927163959754148E-4</c:v>
                </c:pt>
                <c:pt idx="9">
                  <c:v>1.9094925324389769E-4</c:v>
                </c:pt>
                <c:pt idx="10">
                  <c:v>3.8189850648779602E-5</c:v>
                </c:pt>
                <c:pt idx="11">
                  <c:v>6.9436092088690095E-6</c:v>
                </c:pt>
                <c:pt idx="12">
                  <c:v>1.1572682014781686E-6</c:v>
                </c:pt>
                <c:pt idx="13">
                  <c:v>1.7804126176587265E-7</c:v>
                </c:pt>
                <c:pt idx="14">
                  <c:v>2.5434465966553194E-8</c:v>
                </c:pt>
                <c:pt idx="15">
                  <c:v>3.391262128873753E-9</c:v>
                </c:pt>
                <c:pt idx="16">
                  <c:v>4.2390776610922124E-10</c:v>
                </c:pt>
                <c:pt idx="17">
                  <c:v>4.9871501895202335E-11</c:v>
                </c:pt>
                <c:pt idx="18">
                  <c:v>5.5412779883558056E-12</c:v>
                </c:pt>
                <c:pt idx="19">
                  <c:v>5.8329241982692627E-13</c:v>
                </c:pt>
                <c:pt idx="20">
                  <c:v>5.8329241982692291E-14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6-4C5E-9B32-4F56F5D2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5"/>
        <c:axId val="1045612680"/>
        <c:axId val="1045605792"/>
      </c:barChart>
      <c:catAx>
        <c:axId val="104561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5"/>
        <c:noMultiLvlLbl val="0"/>
      </c:catAx>
      <c:valAx>
        <c:axId val="10456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97286276715426"/>
          <c:y val="0.24719743365412658"/>
          <c:w val="0.14376523247094114"/>
          <c:h val="0.3032899533391659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Normal distribution</a:t>
            </a:r>
          </a:p>
          <a:p>
            <a:pPr>
              <a:defRPr sz="1200"/>
            </a:pPr>
            <a:r>
              <a:rPr lang="en-US" sz="1200"/>
              <a:t>Two params: all µ = 10, various 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'QA3-normal_'!$E$8</c:f>
              <c:strCache>
                <c:ptCount val="1"/>
                <c:pt idx="0">
                  <c:v>σ = 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'QA3-normal_'!$B$9:$B$29</c:f>
              <c:numCache>
                <c:formatCode>General</c:formatCode>
                <c:ptCount val="21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</c:numCache>
            </c:numRef>
          </c:cat>
          <c:val>
            <c:numRef>
              <c:f>'QA3-normal_'!$E$9:$E$29</c:f>
              <c:numCache>
                <c:formatCode>0.00</c:formatCode>
                <c:ptCount val="21"/>
                <c:pt idx="0">
                  <c:v>3.3159046264249557E-2</c:v>
                </c:pt>
                <c:pt idx="1">
                  <c:v>4.3172531888630579E-2</c:v>
                </c:pt>
                <c:pt idx="2">
                  <c:v>5.4670024891997876E-2</c:v>
                </c:pt>
                <c:pt idx="3">
                  <c:v>6.7332895184686298E-2</c:v>
                </c:pt>
                <c:pt idx="4">
                  <c:v>8.0656908173047798E-2</c:v>
                </c:pt>
                <c:pt idx="5">
                  <c:v>9.3970625136767516E-2</c:v>
                </c:pt>
                <c:pt idx="6">
                  <c:v>0.10648266850745074</c:v>
                </c:pt>
                <c:pt idx="7">
                  <c:v>0.11735510892143317</c:v>
                </c:pt>
                <c:pt idx="8">
                  <c:v>0.12579440923099772</c:v>
                </c:pt>
                <c:pt idx="9">
                  <c:v>0.13114657203397997</c:v>
                </c:pt>
                <c:pt idx="10">
                  <c:v>0.13298076013381088</c:v>
                </c:pt>
                <c:pt idx="11">
                  <c:v>0.13114657203397997</c:v>
                </c:pt>
                <c:pt idx="12">
                  <c:v>0.12579440923099772</c:v>
                </c:pt>
                <c:pt idx="13">
                  <c:v>0.11735510892143317</c:v>
                </c:pt>
                <c:pt idx="14">
                  <c:v>0.10648266850745074</c:v>
                </c:pt>
                <c:pt idx="15">
                  <c:v>9.3970625136767516E-2</c:v>
                </c:pt>
                <c:pt idx="16">
                  <c:v>8.0656908173047798E-2</c:v>
                </c:pt>
                <c:pt idx="17">
                  <c:v>6.7332895184686298E-2</c:v>
                </c:pt>
                <c:pt idx="18">
                  <c:v>5.4670024891997876E-2</c:v>
                </c:pt>
                <c:pt idx="19">
                  <c:v>4.3172531888630579E-2</c:v>
                </c:pt>
                <c:pt idx="20">
                  <c:v>3.3159046264249557E-2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74-4AD9-9A30-3176A5A67178}"/>
            </c:ext>
          </c:extLst>
        </c:ser>
        <c:ser>
          <c:idx val="2"/>
          <c:order val="1"/>
          <c:tx>
            <c:strRef>
              <c:f>'QA3-normal_'!$D$8</c:f>
              <c:strCache>
                <c:ptCount val="1"/>
                <c:pt idx="0">
                  <c:v>σ = 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'QA3-normal_'!$B$9:$B$29</c:f>
              <c:numCache>
                <c:formatCode>General</c:formatCode>
                <c:ptCount val="21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</c:numCache>
            </c:numRef>
          </c:cat>
          <c:val>
            <c:numRef>
              <c:f>'QA3-normal_'!$D$9:$D$29</c:f>
              <c:numCache>
                <c:formatCode>0.00</c:formatCode>
                <c:ptCount val="21"/>
                <c:pt idx="0">
                  <c:v>8.7641502467842702E-3</c:v>
                </c:pt>
                <c:pt idx="1">
                  <c:v>1.5869825917833709E-2</c:v>
                </c:pt>
                <c:pt idx="2">
                  <c:v>2.6995483256594031E-2</c:v>
                </c:pt>
                <c:pt idx="3">
                  <c:v>4.3138659413255766E-2</c:v>
                </c:pt>
                <c:pt idx="4">
                  <c:v>6.4758797832945872E-2</c:v>
                </c:pt>
                <c:pt idx="5">
                  <c:v>9.1324542694510957E-2</c:v>
                </c:pt>
                <c:pt idx="6">
                  <c:v>0.12098536225957168</c:v>
                </c:pt>
                <c:pt idx="7">
                  <c:v>0.15056871607740221</c:v>
                </c:pt>
                <c:pt idx="8">
                  <c:v>0.17603266338214976</c:v>
                </c:pt>
                <c:pt idx="9">
                  <c:v>0.19333405840142462</c:v>
                </c:pt>
                <c:pt idx="10">
                  <c:v>0.19947114020071635</c:v>
                </c:pt>
                <c:pt idx="11">
                  <c:v>0.19333405840142462</c:v>
                </c:pt>
                <c:pt idx="12">
                  <c:v>0.17603266338214976</c:v>
                </c:pt>
                <c:pt idx="13">
                  <c:v>0.15056871607740221</c:v>
                </c:pt>
                <c:pt idx="14">
                  <c:v>0.12098536225957168</c:v>
                </c:pt>
                <c:pt idx="15">
                  <c:v>9.1324542694510957E-2</c:v>
                </c:pt>
                <c:pt idx="16">
                  <c:v>6.4758797832945872E-2</c:v>
                </c:pt>
                <c:pt idx="17">
                  <c:v>4.3138659413255766E-2</c:v>
                </c:pt>
                <c:pt idx="18">
                  <c:v>2.6995483256594031E-2</c:v>
                </c:pt>
                <c:pt idx="19">
                  <c:v>1.5869825917833709E-2</c:v>
                </c:pt>
                <c:pt idx="20">
                  <c:v>8.7641502467842702E-3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A74-4AD9-9A30-3176A5A67178}"/>
            </c:ext>
          </c:extLst>
        </c:ser>
        <c:ser>
          <c:idx val="0"/>
          <c:order val="2"/>
          <c:tx>
            <c:strRef>
              <c:f>'QA3-normal_'!$C$8</c:f>
              <c:strCache>
                <c:ptCount val="1"/>
                <c:pt idx="0">
                  <c:v>σ = 1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'QA3-normal_'!$B$9:$B$29</c:f>
              <c:numCache>
                <c:formatCode>General</c:formatCode>
                <c:ptCount val="21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</c:numCache>
            </c:numRef>
          </c:cat>
          <c:val>
            <c:numRef>
              <c:f>'QA3-normal_'!$C$9:$C$29</c:f>
              <c:numCache>
                <c:formatCode>0.00</c:formatCode>
                <c:ptCount val="21"/>
                <c:pt idx="0">
                  <c:v>1.4867195147342977E-6</c:v>
                </c:pt>
                <c:pt idx="1">
                  <c:v>1.5983741106905475E-5</c:v>
                </c:pt>
                <c:pt idx="2">
                  <c:v>1.3383022576488537E-4</c:v>
                </c:pt>
                <c:pt idx="3">
                  <c:v>8.7268269504576015E-4</c:v>
                </c:pt>
                <c:pt idx="4">
                  <c:v>4.4318484119380075E-3</c:v>
                </c:pt>
                <c:pt idx="5">
                  <c:v>1.752830049356854E-2</c:v>
                </c:pt>
                <c:pt idx="6">
                  <c:v>5.3990966513188063E-2</c:v>
                </c:pt>
                <c:pt idx="7">
                  <c:v>0.12951759566589174</c:v>
                </c:pt>
                <c:pt idx="8">
                  <c:v>0.24197072451914337</c:v>
                </c:pt>
                <c:pt idx="9">
                  <c:v>0.35206532676429952</c:v>
                </c:pt>
                <c:pt idx="10">
                  <c:v>0.3989422804014327</c:v>
                </c:pt>
                <c:pt idx="11">
                  <c:v>0.35206532676429952</c:v>
                </c:pt>
                <c:pt idx="12">
                  <c:v>0.24197072451914337</c:v>
                </c:pt>
                <c:pt idx="13">
                  <c:v>0.12951759566589174</c:v>
                </c:pt>
                <c:pt idx="14">
                  <c:v>5.3990966513188063E-2</c:v>
                </c:pt>
                <c:pt idx="15">
                  <c:v>1.752830049356854E-2</c:v>
                </c:pt>
                <c:pt idx="16">
                  <c:v>4.4318484119380075E-3</c:v>
                </c:pt>
                <c:pt idx="17">
                  <c:v>8.7268269504576015E-4</c:v>
                </c:pt>
                <c:pt idx="18">
                  <c:v>1.3383022576488537E-4</c:v>
                </c:pt>
                <c:pt idx="19">
                  <c:v>1.5983741106905475E-5</c:v>
                </c:pt>
                <c:pt idx="20">
                  <c:v>1.4867195147342977E-6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74-4AD9-9A30-3176A5A67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612680"/>
        <c:axId val="1045605792"/>
      </c:lineChart>
      <c:catAx>
        <c:axId val="104561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noMultiLvlLbl val="0"/>
      </c:catAx>
      <c:valAx>
        <c:axId val="1045605792"/>
        <c:scaling>
          <c:orientation val="minMax"/>
          <c:max val="0.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37762467191601"/>
          <c:y val="0.27960484106153399"/>
          <c:w val="0.16077380952380951"/>
          <c:h val="0.2847714348206474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Lognormal distribution</a:t>
            </a:r>
          </a:p>
          <a:p>
            <a:pPr>
              <a:defRPr sz="1200"/>
            </a:pPr>
            <a:r>
              <a:rPr lang="en-US" sz="1200"/>
              <a:t>Two params: all µ = 10, various σ</a:t>
            </a:r>
          </a:p>
        </c:rich>
      </c:tx>
      <c:layout>
        <c:manualLayout>
          <c:xMode val="edge"/>
          <c:yMode val="edge"/>
          <c:x val="0.2303123828271466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30483689538808"/>
          <c:y val="0.20659740449110528"/>
          <c:w val="0.8509570678665167"/>
          <c:h val="0.66022309711286098"/>
        </c:manualLayout>
      </c:layout>
      <c:lineChart>
        <c:grouping val="standard"/>
        <c:varyColors val="0"/>
        <c:ser>
          <c:idx val="3"/>
          <c:order val="0"/>
          <c:tx>
            <c:strRef>
              <c:f>'QA3-lognormal'!$E$8</c:f>
              <c:strCache>
                <c:ptCount val="1"/>
                <c:pt idx="0">
                  <c:v>σ = 1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'QA3-lognormal'!$B$9:$B$21</c:f>
              <c:numCache>
                <c:formatCode>0.0</c:formatCode>
                <c:ptCount val="13"/>
                <c:pt idx="0">
                  <c:v>1.0000000000000001E-5</c:v>
                </c:pt>
                <c:pt idx="1">
                  <c:v>0.25001000000000001</c:v>
                </c:pt>
                <c:pt idx="2">
                  <c:v>0.50001000000000007</c:v>
                </c:pt>
                <c:pt idx="3">
                  <c:v>0.75001000000000007</c:v>
                </c:pt>
                <c:pt idx="4">
                  <c:v>1.0000100000000001</c:v>
                </c:pt>
                <c:pt idx="5">
                  <c:v>1.2500100000000001</c:v>
                </c:pt>
                <c:pt idx="6">
                  <c:v>1.5000100000000001</c:v>
                </c:pt>
                <c:pt idx="7">
                  <c:v>1.7500100000000001</c:v>
                </c:pt>
                <c:pt idx="8">
                  <c:v>2.0000100000000001</c:v>
                </c:pt>
                <c:pt idx="9">
                  <c:v>2.2500100000000001</c:v>
                </c:pt>
                <c:pt idx="10">
                  <c:v>2.5000100000000001</c:v>
                </c:pt>
                <c:pt idx="11">
                  <c:v>2.7500100000000001</c:v>
                </c:pt>
                <c:pt idx="12">
                  <c:v>3.0000100000000001</c:v>
                </c:pt>
              </c:numCache>
            </c:numRef>
          </c:cat>
          <c:val>
            <c:numRef>
              <c:f>'QA3-lognormal'!$E$9:$E$21</c:f>
              <c:numCache>
                <c:formatCode>0.00</c:formatCode>
                <c:ptCount val="13"/>
                <c:pt idx="0">
                  <c:v>6.5856159926168652E-25</c:v>
                </c:pt>
                <c:pt idx="1">
                  <c:v>0.6104647362037251</c:v>
                </c:pt>
                <c:pt idx="2">
                  <c:v>0.62749222606194521</c:v>
                </c:pt>
                <c:pt idx="3">
                  <c:v>0.51035615913322607</c:v>
                </c:pt>
                <c:pt idx="4">
                  <c:v>0.39893829099857575</c:v>
                </c:pt>
                <c:pt idx="5">
                  <c:v>0.31130305375213202</c:v>
                </c:pt>
                <c:pt idx="6">
                  <c:v>0.244971356377338</c:v>
                </c:pt>
                <c:pt idx="7">
                  <c:v>0.19492349158106417</c:v>
                </c:pt>
                <c:pt idx="8">
                  <c:v>0.1568726912319445</c:v>
                </c:pt>
                <c:pt idx="9">
                  <c:v>0.12762223014885121</c:v>
                </c:pt>
                <c:pt idx="10">
                  <c:v>0.10487026303968526</c:v>
                </c:pt>
                <c:pt idx="11">
                  <c:v>8.69680071346116E-2</c:v>
                </c:pt>
                <c:pt idx="12">
                  <c:v>7.2727747380844546E-2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C8-4EA9-A43C-F3C3ED9625E0}"/>
            </c:ext>
          </c:extLst>
        </c:ser>
        <c:ser>
          <c:idx val="2"/>
          <c:order val="1"/>
          <c:tx>
            <c:strRef>
              <c:f>'QA3-lognormal'!$D$8</c:f>
              <c:strCache>
                <c:ptCount val="1"/>
                <c:pt idx="0">
                  <c:v>σ = 0.5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'QA3-lognormal'!$B$9:$B$21</c:f>
              <c:numCache>
                <c:formatCode>0.0</c:formatCode>
                <c:ptCount val="13"/>
                <c:pt idx="0">
                  <c:v>1.0000000000000001E-5</c:v>
                </c:pt>
                <c:pt idx="1">
                  <c:v>0.25001000000000001</c:v>
                </c:pt>
                <c:pt idx="2">
                  <c:v>0.50001000000000007</c:v>
                </c:pt>
                <c:pt idx="3">
                  <c:v>0.75001000000000007</c:v>
                </c:pt>
                <c:pt idx="4">
                  <c:v>1.0000100000000001</c:v>
                </c:pt>
                <c:pt idx="5">
                  <c:v>1.2500100000000001</c:v>
                </c:pt>
                <c:pt idx="6">
                  <c:v>1.5000100000000001</c:v>
                </c:pt>
                <c:pt idx="7">
                  <c:v>1.7500100000000001</c:v>
                </c:pt>
                <c:pt idx="8">
                  <c:v>2.0000100000000001</c:v>
                </c:pt>
                <c:pt idx="9">
                  <c:v>2.2500100000000001</c:v>
                </c:pt>
                <c:pt idx="10">
                  <c:v>2.5000100000000001</c:v>
                </c:pt>
                <c:pt idx="11">
                  <c:v>2.7500100000000001</c:v>
                </c:pt>
                <c:pt idx="12">
                  <c:v>3.0000100000000001</c:v>
                </c:pt>
              </c:numCache>
            </c:numRef>
          </c:cat>
          <c:val>
            <c:numRef>
              <c:f>'QA3-lognormal'!$D$9:$D$21</c:f>
              <c:numCache>
                <c:formatCode>0.00</c:formatCode>
                <c:ptCount val="13"/>
                <c:pt idx="0">
                  <c:v>5.9249598506978834E-111</c:v>
                </c:pt>
                <c:pt idx="1">
                  <c:v>6.8361922182128276E-2</c:v>
                </c:pt>
                <c:pt idx="2">
                  <c:v>0.61047694559276544</c:v>
                </c:pt>
                <c:pt idx="3">
                  <c:v>0.90155951526864242</c:v>
                </c:pt>
                <c:pt idx="4">
                  <c:v>0.79787658187747112</c:v>
                </c:pt>
                <c:pt idx="5">
                  <c:v>0.57779500629479885</c:v>
                </c:pt>
                <c:pt idx="6">
                  <c:v>0.38286307982798096</c:v>
                </c:pt>
                <c:pt idx="7">
                  <c:v>0.24371267566415453</c:v>
                </c:pt>
                <c:pt idx="8">
                  <c:v>0.15261094732826749</c:v>
                </c:pt>
                <c:pt idx="9">
                  <c:v>9.518279664874045E-2</c:v>
                </c:pt>
                <c:pt idx="10">
                  <c:v>5.9529805695267307E-2</c:v>
                </c:pt>
                <c:pt idx="11">
                  <c:v>3.7474917971100058E-2</c:v>
                </c:pt>
                <c:pt idx="12">
                  <c:v>2.37940544050519E-2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8C8-4EA9-A43C-F3C3ED9625E0}"/>
            </c:ext>
          </c:extLst>
        </c:ser>
        <c:ser>
          <c:idx val="0"/>
          <c:order val="2"/>
          <c:tx>
            <c:strRef>
              <c:f>'QA3-lognormal'!$C$8</c:f>
              <c:strCache>
                <c:ptCount val="1"/>
                <c:pt idx="0">
                  <c:v>σ = 0.25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'QA3-lognormal'!$B$9:$B$21</c:f>
              <c:numCache>
                <c:formatCode>0.0</c:formatCode>
                <c:ptCount val="13"/>
                <c:pt idx="0">
                  <c:v>1.0000000000000001E-5</c:v>
                </c:pt>
                <c:pt idx="1">
                  <c:v>0.25001000000000001</c:v>
                </c:pt>
                <c:pt idx="2">
                  <c:v>0.50001000000000007</c:v>
                </c:pt>
                <c:pt idx="3">
                  <c:v>0.75001000000000007</c:v>
                </c:pt>
                <c:pt idx="4">
                  <c:v>1.0000100000000001</c:v>
                </c:pt>
                <c:pt idx="5">
                  <c:v>1.2500100000000001</c:v>
                </c:pt>
                <c:pt idx="6">
                  <c:v>1.5000100000000001</c:v>
                </c:pt>
                <c:pt idx="7">
                  <c:v>1.7500100000000001</c:v>
                </c:pt>
                <c:pt idx="8">
                  <c:v>2.0000100000000001</c:v>
                </c:pt>
                <c:pt idx="9">
                  <c:v>2.2500100000000001</c:v>
                </c:pt>
                <c:pt idx="10">
                  <c:v>2.5000100000000001</c:v>
                </c:pt>
                <c:pt idx="11">
                  <c:v>2.7500100000000001</c:v>
                </c:pt>
                <c:pt idx="12">
                  <c:v>3.0000100000000001</c:v>
                </c:pt>
              </c:numCache>
            </c:numRef>
          </c:cat>
          <c:val>
            <c:numRef>
              <c:f>'QA3-lognormal'!$C$9:$C$21</c:f>
              <c:numCache>
                <c:formatCode>0.00</c:formatCode>
                <c:ptCount val="13"/>
                <c:pt idx="0">
                  <c:v>0</c:v>
                </c:pt>
                <c:pt idx="1">
                  <c:v>1.3438135439066645E-6</c:v>
                </c:pt>
                <c:pt idx="2">
                  <c:v>6.8363289544851991E-2</c:v>
                </c:pt>
                <c:pt idx="3">
                  <c:v>1.0974596928777238</c:v>
                </c:pt>
                <c:pt idx="4">
                  <c:v>1.5957531627974997</c:v>
                </c:pt>
                <c:pt idx="5">
                  <c:v>0.85712746106085613</c:v>
                </c:pt>
                <c:pt idx="6">
                  <c:v>0.28553952223927703</c:v>
                </c:pt>
                <c:pt idx="7">
                  <c:v>7.4446429442983797E-2</c:v>
                </c:pt>
                <c:pt idx="8">
                  <c:v>1.7086340842429323E-2</c:v>
                </c:pt>
                <c:pt idx="9">
                  <c:v>3.681264309299903E-3</c:v>
                </c:pt>
                <c:pt idx="10">
                  <c:v>7.7263238700137462E-4</c:v>
                </c:pt>
                <c:pt idx="11">
                  <c:v>1.615010662801919E-4</c:v>
                </c:pt>
                <c:pt idx="12">
                  <c:v>3.4076244003970394E-5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8C8-4EA9-A43C-F3C3ED96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612680"/>
        <c:axId val="1045605792"/>
      </c:lineChart>
      <c:catAx>
        <c:axId val="104561268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2"/>
        <c:noMultiLvlLbl val="0"/>
      </c:catAx>
      <c:valAx>
        <c:axId val="1045605792"/>
        <c:scaling>
          <c:orientation val="minMax"/>
          <c:max val="1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37762467191601"/>
          <c:y val="0.27960484106153399"/>
          <c:w val="0.21732142857142858"/>
          <c:h val="0.4560677311169437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Chi-Squared distribution</a:t>
            </a:r>
          </a:p>
          <a:p>
            <a:pPr>
              <a:defRPr sz="1200"/>
            </a:pPr>
            <a:r>
              <a:rPr lang="en-US" sz="1200"/>
              <a:t>One param, 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'QA3-chi^2'!$E$8</c:f>
              <c:strCache>
                <c:ptCount val="1"/>
                <c:pt idx="0">
                  <c:v>k = 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'QA3-chi^2'!$B$9:$B$41</c:f>
              <c:numCache>
                <c:formatCode>0.0</c:formatCode>
                <c:ptCount val="33"/>
                <c:pt idx="0">
                  <c:v>1.0000000000000001E-5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'QA3-chi^2'!$E$9:$E$41</c:f>
              <c:numCache>
                <c:formatCode>0.00</c:formatCode>
                <c:ptCount val="33"/>
                <c:pt idx="0">
                  <c:v>1.2615599531945417E-3</c:v>
                </c:pt>
                <c:pt idx="1">
                  <c:v>0.17603266338214985</c:v>
                </c:pt>
                <c:pt idx="2">
                  <c:v>0.21969564473386122</c:v>
                </c:pt>
                <c:pt idx="3">
                  <c:v>0.23745442481665452</c:v>
                </c:pt>
                <c:pt idx="4">
                  <c:v>0.24197072451914337</c:v>
                </c:pt>
                <c:pt idx="5">
                  <c:v>0.23874320576677827</c:v>
                </c:pt>
                <c:pt idx="6">
                  <c:v>0.23079948420818289</c:v>
                </c:pt>
                <c:pt idx="7">
                  <c:v>0.21999936054734842</c:v>
                </c:pt>
                <c:pt idx="8">
                  <c:v>0.20755374871029736</c:v>
                </c:pt>
                <c:pt idx="9">
                  <c:v>0.19427639349883766</c:v>
                </c:pt>
                <c:pt idx="10">
                  <c:v>0.18072239266818135</c:v>
                </c:pt>
                <c:pt idx="11">
                  <c:v>0.16727132617079166</c:v>
                </c:pt>
                <c:pt idx="12">
                  <c:v>0.15418032980376933</c:v>
                </c:pt>
                <c:pt idx="13">
                  <c:v>0.14161955102631801</c:v>
                </c:pt>
                <c:pt idx="14">
                  <c:v>0.12969664583311846</c:v>
                </c:pt>
                <c:pt idx="15">
                  <c:v>0.11847413488863492</c:v>
                </c:pt>
                <c:pt idx="16">
                  <c:v>0.10798193302637614</c:v>
                </c:pt>
                <c:pt idx="17">
                  <c:v>9.8226519729419884E-2</c:v>
                </c:pt>
                <c:pt idx="18">
                  <c:v>8.9197716917722061E-2</c:v>
                </c:pt>
                <c:pt idx="19">
                  <c:v>8.0873730432571095E-2</c:v>
                </c:pt>
                <c:pt idx="20">
                  <c:v>7.3224912809632461E-2</c:v>
                </c:pt>
                <c:pt idx="21">
                  <c:v>6.6216573333462259E-2</c:v>
                </c:pt>
                <c:pt idx="22">
                  <c:v>5.9811071855057296E-2</c:v>
                </c:pt>
                <c:pt idx="23">
                  <c:v>5.3969370527357688E-2</c:v>
                </c:pt>
                <c:pt idx="24">
                  <c:v>4.8652173329641474E-2</c:v>
                </c:pt>
                <c:pt idx="25">
                  <c:v>4.3820751233921366E-2</c:v>
                </c:pt>
                <c:pt idx="26">
                  <c:v>3.9437527366748784E-2</c:v>
                </c:pt>
                <c:pt idx="27">
                  <c:v>3.5466479047795769E-2</c:v>
                </c:pt>
                <c:pt idx="28">
                  <c:v>3.1873400451481231E-2</c:v>
                </c:pt>
                <c:pt idx="29">
                  <c:v>2.8626059669491572E-2</c:v>
                </c:pt>
                <c:pt idx="30">
                  <c:v>2.569427632604613E-2</c:v>
                </c:pt>
                <c:pt idx="31">
                  <c:v>2.3049940024379902E-2</c:v>
                </c:pt>
                <c:pt idx="32">
                  <c:v>2.066698535409206E-2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06-40BE-A369-8CFB49DE6F2D}"/>
            </c:ext>
          </c:extLst>
        </c:ser>
        <c:ser>
          <c:idx val="2"/>
          <c:order val="1"/>
          <c:tx>
            <c:strRef>
              <c:f>'QA3-chi^2'!$D$8</c:f>
              <c:strCache>
                <c:ptCount val="1"/>
                <c:pt idx="0">
                  <c:v>k = 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'QA3-chi^2'!$B$9:$B$41</c:f>
              <c:numCache>
                <c:formatCode>0.0</c:formatCode>
                <c:ptCount val="33"/>
                <c:pt idx="0">
                  <c:v>1.0000000000000001E-5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'QA3-chi^2'!$D$9:$D$41</c:f>
              <c:numCache>
                <c:formatCode>0.00</c:formatCode>
                <c:ptCount val="33"/>
                <c:pt idx="0">
                  <c:v>0.49999750000624982</c:v>
                </c:pt>
                <c:pt idx="1">
                  <c:v>0.44124845129229778</c:v>
                </c:pt>
                <c:pt idx="2">
                  <c:v>0.38940039153570244</c:v>
                </c:pt>
                <c:pt idx="3">
                  <c:v>0.34364463939548606</c:v>
                </c:pt>
                <c:pt idx="4">
                  <c:v>0.30326532985631671</c:v>
                </c:pt>
                <c:pt idx="5">
                  <c:v>0.26763071425949508</c:v>
                </c:pt>
                <c:pt idx="6">
                  <c:v>0.23618327637050734</c:v>
                </c:pt>
                <c:pt idx="7">
                  <c:v>0.20843100983925417</c:v>
                </c:pt>
                <c:pt idx="8">
                  <c:v>0.18393972058572117</c:v>
                </c:pt>
                <c:pt idx="9">
                  <c:v>0.16232623367917484</c:v>
                </c:pt>
                <c:pt idx="10">
                  <c:v>0.14325239843009505</c:v>
                </c:pt>
                <c:pt idx="11">
                  <c:v>0.12641979790237323</c:v>
                </c:pt>
                <c:pt idx="12">
                  <c:v>0.11156508007421491</c:v>
                </c:pt>
                <c:pt idx="13">
                  <c:v>9.8455837602097029E-2</c:v>
                </c:pt>
                <c:pt idx="14">
                  <c:v>8.6886971725222556E-2</c:v>
                </c:pt>
                <c:pt idx="15">
                  <c:v>7.6677483422464221E-2</c:v>
                </c:pt>
                <c:pt idx="16">
                  <c:v>6.7667641618306337E-2</c:v>
                </c:pt>
                <c:pt idx="17">
                  <c:v>5.9716484133359816E-2</c:v>
                </c:pt>
                <c:pt idx="18">
                  <c:v>5.2699612280932166E-2</c:v>
                </c:pt>
                <c:pt idx="19">
                  <c:v>4.6507244605331739E-2</c:v>
                </c:pt>
                <c:pt idx="20">
                  <c:v>4.10424993119494E-2</c:v>
                </c:pt>
                <c:pt idx="21">
                  <c:v>3.6219878517125728E-2</c:v>
                </c:pt>
                <c:pt idx="22">
                  <c:v>3.1963930603353785E-2</c:v>
                </c:pt>
                <c:pt idx="23">
                  <c:v>2.8208069751888672E-2</c:v>
                </c:pt>
                <c:pt idx="24">
                  <c:v>2.4893534183931976E-2</c:v>
                </c:pt>
                <c:pt idx="25">
                  <c:v>2.196846681170371E-2</c:v>
                </c:pt>
                <c:pt idx="26">
                  <c:v>1.9387103915861008E-2</c:v>
                </c:pt>
                <c:pt idx="27">
                  <c:v>1.7109059155833016E-2</c:v>
                </c:pt>
                <c:pt idx="28">
                  <c:v>1.509869171115925E-2</c:v>
                </c:pt>
                <c:pt idx="29">
                  <c:v>1.3324548668177743E-2</c:v>
                </c:pt>
                <c:pt idx="30">
                  <c:v>1.1758872928004555E-2</c:v>
                </c:pt>
                <c:pt idx="31">
                  <c:v>1.0377168936849871E-2</c:v>
                </c:pt>
                <c:pt idx="32">
                  <c:v>9.1578194443670893E-3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06-40BE-A369-8CFB49DE6F2D}"/>
            </c:ext>
          </c:extLst>
        </c:ser>
        <c:ser>
          <c:idx val="0"/>
          <c:order val="2"/>
          <c:tx>
            <c:strRef>
              <c:f>'QA3-chi^2'!$C$8</c:f>
              <c:strCache>
                <c:ptCount val="1"/>
                <c:pt idx="0">
                  <c:v>k = 1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'QA3-chi^2'!$B$9:$B$41</c:f>
              <c:numCache>
                <c:formatCode>0.0</c:formatCode>
                <c:ptCount val="33"/>
                <c:pt idx="0">
                  <c:v>1.0000000000000001E-5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'QA3-chi^2'!$C$9:$C$41</c:f>
              <c:numCache>
                <c:formatCode>0.00</c:formatCode>
                <c:ptCount val="33"/>
                <c:pt idx="0">
                  <c:v>126.15599531945442</c:v>
                </c:pt>
                <c:pt idx="1">
                  <c:v>0.70413065352859905</c:v>
                </c:pt>
                <c:pt idx="2">
                  <c:v>0.43939128946772238</c:v>
                </c:pt>
                <c:pt idx="3">
                  <c:v>0.31660589975553932</c:v>
                </c:pt>
                <c:pt idx="4">
                  <c:v>0.24197072451914334</c:v>
                </c:pt>
                <c:pt idx="5">
                  <c:v>0.19099456461342262</c:v>
                </c:pt>
                <c:pt idx="6">
                  <c:v>0.15386632280545526</c:v>
                </c:pt>
                <c:pt idx="7">
                  <c:v>0.12571392031277051</c:v>
                </c:pt>
                <c:pt idx="8">
                  <c:v>0.10377687435514868</c:v>
                </c:pt>
                <c:pt idx="9">
                  <c:v>8.6345063777261144E-2</c:v>
                </c:pt>
                <c:pt idx="10">
                  <c:v>7.2288957067272508E-2</c:v>
                </c:pt>
                <c:pt idx="11">
                  <c:v>6.0825936789378754E-2</c:v>
                </c:pt>
                <c:pt idx="12">
                  <c:v>5.1393443267923083E-2</c:v>
                </c:pt>
                <c:pt idx="13">
                  <c:v>4.3575246469636286E-2</c:v>
                </c:pt>
                <c:pt idx="14">
                  <c:v>3.705618452374812E-2</c:v>
                </c:pt>
                <c:pt idx="15">
                  <c:v>3.1593102636969295E-2</c:v>
                </c:pt>
                <c:pt idx="16">
                  <c:v>2.6995483256594028E-2</c:v>
                </c:pt>
                <c:pt idx="17">
                  <c:v>2.3112122289275252E-2</c:v>
                </c:pt>
                <c:pt idx="18">
                  <c:v>1.9821714870604894E-2</c:v>
                </c:pt>
                <c:pt idx="19">
                  <c:v>1.702604851212022E-2</c:v>
                </c:pt>
                <c:pt idx="20">
                  <c:v>1.4644982561926487E-2</c:v>
                </c:pt>
                <c:pt idx="21">
                  <c:v>1.2612680634945184E-2</c:v>
                </c:pt>
                <c:pt idx="22">
                  <c:v>1.0874740337283141E-2</c:v>
                </c:pt>
                <c:pt idx="23">
                  <c:v>9.3859774830187225E-3</c:v>
                </c:pt>
                <c:pt idx="24">
                  <c:v>8.1086955549402422E-3</c:v>
                </c:pt>
                <c:pt idx="25">
                  <c:v>7.0113201974274153E-3</c:v>
                </c:pt>
                <c:pt idx="26">
                  <c:v>6.0673119025767353E-3</c:v>
                </c:pt>
                <c:pt idx="27">
                  <c:v>5.2542931922660375E-3</c:v>
                </c:pt>
                <c:pt idx="28">
                  <c:v>4.5533429216401732E-3</c:v>
                </c:pt>
                <c:pt idx="29">
                  <c:v>3.9484220233781467E-3</c:v>
                </c:pt>
                <c:pt idx="30">
                  <c:v>3.4259035101394824E-3</c:v>
                </c:pt>
                <c:pt idx="31">
                  <c:v>2.9741858095974059E-3</c:v>
                </c:pt>
                <c:pt idx="32">
                  <c:v>2.5833731692615066E-3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706-40BE-A369-8CFB49DE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612680"/>
        <c:axId val="1045605792"/>
      </c:lineChart>
      <c:catAx>
        <c:axId val="10456126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4"/>
        <c:noMultiLvlLbl val="0"/>
      </c:catAx>
      <c:valAx>
        <c:axId val="1045605792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37762467191601"/>
          <c:y val="0.27960484106153399"/>
          <c:w val="0.21732142857142858"/>
          <c:h val="0.4560677311169437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Student's t distribution</a:t>
            </a:r>
          </a:p>
          <a:p>
            <a:pPr>
              <a:defRPr sz="1200"/>
            </a:pPr>
            <a:r>
              <a:rPr lang="en-US" sz="1200"/>
              <a:t>One params: degrees of freedom, 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'QA3-students-t'!$E$8</c:f>
              <c:strCache>
                <c:ptCount val="1"/>
                <c:pt idx="0">
                  <c:v>k = 10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'QA3-students-t'!$B$9:$B$41</c:f>
              <c:numCache>
                <c:formatCode>General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cat>
          <c:val>
            <c:numRef>
              <c:f>'QA3-students-t'!$E$9:$E$41</c:f>
              <c:numCache>
                <c:formatCode>0.00</c:formatCode>
                <c:ptCount val="33"/>
                <c:pt idx="0">
                  <c:v>2.0310339110412167E-3</c:v>
                </c:pt>
                <c:pt idx="1">
                  <c:v>3.1095423842434468E-3</c:v>
                </c:pt>
                <c:pt idx="2">
                  <c:v>4.7836071267013227E-3</c:v>
                </c:pt>
                <c:pt idx="3">
                  <c:v>7.3816432867555527E-3</c:v>
                </c:pt>
                <c:pt idx="4">
                  <c:v>1.1400549464542524E-2</c:v>
                </c:pt>
                <c:pt idx="5">
                  <c:v>1.757299290172061E-2</c:v>
                </c:pt>
                <c:pt idx="6">
                  <c:v>2.6938727628244463E-2</c:v>
                </c:pt>
                <c:pt idx="7">
                  <c:v>4.0891849988948951E-2</c:v>
                </c:pt>
                <c:pt idx="8">
                  <c:v>6.1145766321218181E-2</c:v>
                </c:pt>
                <c:pt idx="9">
                  <c:v>8.9521205019562067E-2</c:v>
                </c:pt>
                <c:pt idx="10">
                  <c:v>0.12744479428709171</c:v>
                </c:pt>
                <c:pt idx="11">
                  <c:v>0.17509993580741329</c:v>
                </c:pt>
                <c:pt idx="12">
                  <c:v>0.23036198922913867</c:v>
                </c:pt>
                <c:pt idx="13">
                  <c:v>0.28797422469394507</c:v>
                </c:pt>
                <c:pt idx="14">
                  <c:v>0.33969513635207788</c:v>
                </c:pt>
                <c:pt idx="15">
                  <c:v>0.37600028568971833</c:v>
                </c:pt>
                <c:pt idx="16">
                  <c:v>0.38910838396603115</c:v>
                </c:pt>
                <c:pt idx="17">
                  <c:v>0.37600028568971833</c:v>
                </c:pt>
                <c:pt idx="18">
                  <c:v>0.33969513635207788</c:v>
                </c:pt>
                <c:pt idx="19">
                  <c:v>0.28797422469394507</c:v>
                </c:pt>
                <c:pt idx="20">
                  <c:v>0.23036198922913867</c:v>
                </c:pt>
                <c:pt idx="21">
                  <c:v>0.17509993580741329</c:v>
                </c:pt>
                <c:pt idx="22">
                  <c:v>0.12744479428709171</c:v>
                </c:pt>
                <c:pt idx="23">
                  <c:v>8.9521205019562067E-2</c:v>
                </c:pt>
                <c:pt idx="24">
                  <c:v>6.1145766321218181E-2</c:v>
                </c:pt>
                <c:pt idx="25">
                  <c:v>4.0891849988948951E-2</c:v>
                </c:pt>
                <c:pt idx="26">
                  <c:v>2.6938727628244463E-2</c:v>
                </c:pt>
                <c:pt idx="27">
                  <c:v>1.757299290172061E-2</c:v>
                </c:pt>
                <c:pt idx="28">
                  <c:v>1.1400549464542524E-2</c:v>
                </c:pt>
                <c:pt idx="29">
                  <c:v>7.3816432867555527E-3</c:v>
                </c:pt>
                <c:pt idx="30">
                  <c:v>4.7836071267013227E-3</c:v>
                </c:pt>
                <c:pt idx="31">
                  <c:v>3.1095423842434468E-3</c:v>
                </c:pt>
                <c:pt idx="32">
                  <c:v>2.0310339110412167E-3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B4-400E-8817-3BF7044DC98B}"/>
            </c:ext>
          </c:extLst>
        </c:ser>
        <c:ser>
          <c:idx val="2"/>
          <c:order val="1"/>
          <c:tx>
            <c:strRef>
              <c:f>'QA3-students-t'!$D$8</c:f>
              <c:strCache>
                <c:ptCount val="1"/>
                <c:pt idx="0">
                  <c:v>k = 3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'QA3-students-t'!$B$9:$B$41</c:f>
              <c:numCache>
                <c:formatCode>General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cat>
          <c:val>
            <c:numRef>
              <c:f>'QA3-students-t'!$D$9:$D$41</c:f>
              <c:numCache>
                <c:formatCode>0.00</c:formatCode>
                <c:ptCount val="33"/>
                <c:pt idx="0">
                  <c:v>9.1633611427444726E-3</c:v>
                </c:pt>
                <c:pt idx="1">
                  <c:v>1.1362572735014193E-2</c:v>
                </c:pt>
                <c:pt idx="2">
                  <c:v>1.422401880152971E-2</c:v>
                </c:pt>
                <c:pt idx="3">
                  <c:v>1.79838430072389E-2</c:v>
                </c:pt>
                <c:pt idx="4">
                  <c:v>2.2972037309241342E-2</c:v>
                </c:pt>
                <c:pt idx="5">
                  <c:v>2.9650263764149469E-2</c:v>
                </c:pt>
                <c:pt idx="6">
                  <c:v>3.8661485727167301E-2</c:v>
                </c:pt>
                <c:pt idx="7">
                  <c:v>5.0888839815388075E-2</c:v>
                </c:pt>
                <c:pt idx="8">
                  <c:v>6.7509660663892967E-2</c:v>
                </c:pt>
                <c:pt idx="9">
                  <c:v>9.0003314206384633E-2</c:v>
                </c:pt>
                <c:pt idx="10">
                  <c:v>0.1200171745135874</c:v>
                </c:pt>
                <c:pt idx="11">
                  <c:v>0.15891183774964773</c:v>
                </c:pt>
                <c:pt idx="12">
                  <c:v>0.20674833578317209</c:v>
                </c:pt>
                <c:pt idx="13">
                  <c:v>0.26064671694917602</c:v>
                </c:pt>
                <c:pt idx="14">
                  <c:v>0.31318091100882872</c:v>
                </c:pt>
                <c:pt idx="15">
                  <c:v>0.35270353326442017</c:v>
                </c:pt>
                <c:pt idx="16">
                  <c:v>0.36755259694786152</c:v>
                </c:pt>
                <c:pt idx="17">
                  <c:v>0.35270353326442017</c:v>
                </c:pt>
                <c:pt idx="18">
                  <c:v>0.31318091100882872</c:v>
                </c:pt>
                <c:pt idx="19">
                  <c:v>0.26064671694917602</c:v>
                </c:pt>
                <c:pt idx="20">
                  <c:v>0.20674833578317209</c:v>
                </c:pt>
                <c:pt idx="21">
                  <c:v>0.15891183774964773</c:v>
                </c:pt>
                <c:pt idx="22">
                  <c:v>0.1200171745135874</c:v>
                </c:pt>
                <c:pt idx="23">
                  <c:v>9.0003314206384633E-2</c:v>
                </c:pt>
                <c:pt idx="24">
                  <c:v>6.7509660663892967E-2</c:v>
                </c:pt>
                <c:pt idx="25">
                  <c:v>5.0888839815388075E-2</c:v>
                </c:pt>
                <c:pt idx="26">
                  <c:v>3.8661485727167301E-2</c:v>
                </c:pt>
                <c:pt idx="27">
                  <c:v>2.9650263764149469E-2</c:v>
                </c:pt>
                <c:pt idx="28">
                  <c:v>2.2972037309241342E-2</c:v>
                </c:pt>
                <c:pt idx="29">
                  <c:v>1.79838430072389E-2</c:v>
                </c:pt>
                <c:pt idx="30">
                  <c:v>1.422401880152971E-2</c:v>
                </c:pt>
                <c:pt idx="31">
                  <c:v>1.1362572735014193E-2</c:v>
                </c:pt>
                <c:pt idx="32">
                  <c:v>9.1633611427444726E-3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B4-400E-8817-3BF7044DC98B}"/>
            </c:ext>
          </c:extLst>
        </c:ser>
        <c:ser>
          <c:idx val="0"/>
          <c:order val="2"/>
          <c:tx>
            <c:strRef>
              <c:f>'QA3-students-t'!$C$8</c:f>
              <c:strCache>
                <c:ptCount val="1"/>
                <c:pt idx="0">
                  <c:v>k = 1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'QA3-students-t'!$B$9:$B$41</c:f>
              <c:numCache>
                <c:formatCode>General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cat>
          <c:val>
            <c:numRef>
              <c:f>'QA3-students-t'!$C$9:$C$41</c:f>
              <c:numCache>
                <c:formatCode>0.00</c:formatCode>
                <c:ptCount val="33"/>
                <c:pt idx="0">
                  <c:v>1.8724110951987685E-2</c:v>
                </c:pt>
                <c:pt idx="1">
                  <c:v>2.1132606551620955E-2</c:v>
                </c:pt>
                <c:pt idx="2">
                  <c:v>2.4023387636512503E-2</c:v>
                </c:pt>
                <c:pt idx="3">
                  <c:v>2.7529503669949468E-2</c:v>
                </c:pt>
                <c:pt idx="4">
                  <c:v>3.1830988618379068E-2</c:v>
                </c:pt>
                <c:pt idx="5">
                  <c:v>3.7174877218544893E-2</c:v>
                </c:pt>
                <c:pt idx="6">
                  <c:v>4.3904811887419404E-2</c:v>
                </c:pt>
                <c:pt idx="7">
                  <c:v>5.2504723494233518E-2</c:v>
                </c:pt>
                <c:pt idx="8">
                  <c:v>6.3661977236758135E-2</c:v>
                </c:pt>
                <c:pt idx="9">
                  <c:v>7.8353202752933102E-2</c:v>
                </c:pt>
                <c:pt idx="10">
                  <c:v>9.7941503441166353E-2</c:v>
                </c:pt>
                <c:pt idx="11">
                  <c:v>0.12421849216928418</c:v>
                </c:pt>
                <c:pt idx="12">
                  <c:v>0.15915494309189535</c:v>
                </c:pt>
                <c:pt idx="13">
                  <c:v>0.20371832715762603</c:v>
                </c:pt>
                <c:pt idx="14">
                  <c:v>0.25464790894703254</c:v>
                </c:pt>
                <c:pt idx="15">
                  <c:v>0.29958577523180296</c:v>
                </c:pt>
                <c:pt idx="16">
                  <c:v>0.31830988618379069</c:v>
                </c:pt>
                <c:pt idx="17">
                  <c:v>0.29958577523180296</c:v>
                </c:pt>
                <c:pt idx="18">
                  <c:v>0.25464790894703254</c:v>
                </c:pt>
                <c:pt idx="19">
                  <c:v>0.20371832715762603</c:v>
                </c:pt>
                <c:pt idx="20">
                  <c:v>0.15915494309189535</c:v>
                </c:pt>
                <c:pt idx="21">
                  <c:v>0.12421849216928418</c:v>
                </c:pt>
                <c:pt idx="22">
                  <c:v>9.7941503441166353E-2</c:v>
                </c:pt>
                <c:pt idx="23">
                  <c:v>7.8353202752933102E-2</c:v>
                </c:pt>
                <c:pt idx="24">
                  <c:v>6.3661977236758135E-2</c:v>
                </c:pt>
                <c:pt idx="25">
                  <c:v>5.2504723494233518E-2</c:v>
                </c:pt>
                <c:pt idx="26">
                  <c:v>4.3904811887419404E-2</c:v>
                </c:pt>
                <c:pt idx="27">
                  <c:v>3.7174877218544893E-2</c:v>
                </c:pt>
                <c:pt idx="28">
                  <c:v>3.1830988618379068E-2</c:v>
                </c:pt>
                <c:pt idx="29">
                  <c:v>2.7529503669949468E-2</c:v>
                </c:pt>
                <c:pt idx="30">
                  <c:v>2.4023387636512503E-2</c:v>
                </c:pt>
                <c:pt idx="31">
                  <c:v>2.1132606551620955E-2</c:v>
                </c:pt>
                <c:pt idx="32">
                  <c:v>1.8724110951987685E-2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B4-400E-8817-3BF7044DC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612680"/>
        <c:axId val="1045605792"/>
      </c:lineChart>
      <c:catAx>
        <c:axId val="104561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4"/>
        <c:noMultiLvlLbl val="0"/>
      </c:catAx>
      <c:valAx>
        <c:axId val="1045605792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37762467191601"/>
          <c:y val="0.27960484106153399"/>
          <c:w val="0.21434523809523809"/>
          <c:h val="0.35421587926509185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F-distribution</a:t>
            </a:r>
          </a:p>
          <a:p>
            <a:pPr>
              <a:defRPr sz="1200"/>
            </a:pPr>
            <a:r>
              <a:rPr lang="en-US" sz="1200"/>
              <a:t>Two params: k1 and k2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'QA3-F-distr'!$C$8</c:f>
              <c:strCache>
                <c:ptCount val="1"/>
                <c:pt idx="0">
                  <c:v>k1= 2, k2= 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'QA3-F-distr'!$B$9:$B$41</c:f>
              <c:numCache>
                <c:formatCode>0.0</c:formatCode>
                <c:ptCount val="33"/>
                <c:pt idx="0">
                  <c:v>1.0000000000000001E-5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</c:numCache>
            </c:numRef>
          </c:cat>
          <c:val>
            <c:numRef>
              <c:f>'QA3-F-distr'!$C$9:$C$41</c:f>
              <c:numCache>
                <c:formatCode>0.00</c:formatCode>
                <c:ptCount val="33"/>
                <c:pt idx="0">
                  <c:v>0.99998000029999556</c:v>
                </c:pt>
                <c:pt idx="1">
                  <c:v>0.82644628099173567</c:v>
                </c:pt>
                <c:pt idx="2">
                  <c:v>0.69444444444444464</c:v>
                </c:pt>
                <c:pt idx="3">
                  <c:v>0.59171597633136086</c:v>
                </c:pt>
                <c:pt idx="4">
                  <c:v>0.51020408163265318</c:v>
                </c:pt>
                <c:pt idx="5">
                  <c:v>0.44444444444444442</c:v>
                </c:pt>
                <c:pt idx="6">
                  <c:v>0.39062499999999994</c:v>
                </c:pt>
                <c:pt idx="7">
                  <c:v>0.34602076124567471</c:v>
                </c:pt>
                <c:pt idx="8">
                  <c:v>0.30864197530864196</c:v>
                </c:pt>
                <c:pt idx="9">
                  <c:v>0.27700831024930755</c:v>
                </c:pt>
                <c:pt idx="10">
                  <c:v>0.24999999999999994</c:v>
                </c:pt>
                <c:pt idx="11">
                  <c:v>0.22675736961451251</c:v>
                </c:pt>
                <c:pt idx="12">
                  <c:v>0.20661157024793386</c:v>
                </c:pt>
                <c:pt idx="13">
                  <c:v>0.1890359168241966</c:v>
                </c:pt>
                <c:pt idx="14">
                  <c:v>0.17361111111111113</c:v>
                </c:pt>
                <c:pt idx="15">
                  <c:v>0.15999999999999995</c:v>
                </c:pt>
                <c:pt idx="16">
                  <c:v>0.14792899408284016</c:v>
                </c:pt>
                <c:pt idx="17">
                  <c:v>0.13717421124828527</c:v>
                </c:pt>
                <c:pt idx="18">
                  <c:v>0.12755102040816318</c:v>
                </c:pt>
                <c:pt idx="19">
                  <c:v>0.11890606420927462</c:v>
                </c:pt>
                <c:pt idx="20">
                  <c:v>0.11111111111111106</c:v>
                </c:pt>
                <c:pt idx="21">
                  <c:v>0.10405827263267425</c:v>
                </c:pt>
                <c:pt idx="22">
                  <c:v>9.7656249999999958E-2</c:v>
                </c:pt>
                <c:pt idx="23">
                  <c:v>9.1827364554637234E-2</c:v>
                </c:pt>
                <c:pt idx="24">
                  <c:v>8.6505190311418637E-2</c:v>
                </c:pt>
                <c:pt idx="25">
                  <c:v>8.1632653061224442E-2</c:v>
                </c:pt>
                <c:pt idx="26">
                  <c:v>7.7160493827160434E-2</c:v>
                </c:pt>
                <c:pt idx="27">
                  <c:v>7.3046018991964889E-2</c:v>
                </c:pt>
                <c:pt idx="28">
                  <c:v>6.9252077562326833E-2</c:v>
                </c:pt>
                <c:pt idx="29">
                  <c:v>6.5746219592373395E-2</c:v>
                </c:pt>
                <c:pt idx="30">
                  <c:v>6.2499999999999944E-2</c:v>
                </c:pt>
                <c:pt idx="31">
                  <c:v>5.9488399762046354E-2</c:v>
                </c:pt>
                <c:pt idx="32">
                  <c:v>5.6689342403628086E-2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46-427C-8AF7-3DEA8C247651}"/>
            </c:ext>
          </c:extLst>
        </c:ser>
        <c:ser>
          <c:idx val="2"/>
          <c:order val="1"/>
          <c:tx>
            <c:strRef>
              <c:f>'QA3-F-distr'!$D$8</c:f>
              <c:strCache>
                <c:ptCount val="1"/>
                <c:pt idx="0">
                  <c:v>k1= 4, k2= 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'QA3-F-distr'!$B$9:$B$41</c:f>
              <c:numCache>
                <c:formatCode>0.0</c:formatCode>
                <c:ptCount val="33"/>
                <c:pt idx="0">
                  <c:v>1.0000000000000001E-5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</c:numCache>
            </c:numRef>
          </c:cat>
          <c:val>
            <c:numRef>
              <c:f>'QA3-F-distr'!$D$9:$D$41</c:f>
              <c:numCache>
                <c:formatCode>0.00</c:formatCode>
                <c:ptCount val="33"/>
                <c:pt idx="0">
                  <c:v>7.9995200191993566E-5</c:v>
                </c:pt>
                <c:pt idx="1">
                  <c:v>0.4629629629629633</c:v>
                </c:pt>
                <c:pt idx="2">
                  <c:v>0.5830903790087465</c:v>
                </c:pt>
                <c:pt idx="3">
                  <c:v>0.5859375</c:v>
                </c:pt>
                <c:pt idx="4">
                  <c:v>0.54869684499314153</c:v>
                </c:pt>
                <c:pt idx="5">
                  <c:v>0.50000000000000022</c:v>
                </c:pt>
                <c:pt idx="6">
                  <c:v>0.45078888054094673</c:v>
                </c:pt>
                <c:pt idx="7">
                  <c:v>0.40509259259259256</c:v>
                </c:pt>
                <c:pt idx="8">
                  <c:v>0.36413290851160679</c:v>
                </c:pt>
                <c:pt idx="9">
                  <c:v>0.32798833819241996</c:v>
                </c:pt>
                <c:pt idx="10">
                  <c:v>0.29629629629629634</c:v>
                </c:pt>
                <c:pt idx="11">
                  <c:v>0.26855468750000011</c:v>
                </c:pt>
                <c:pt idx="12">
                  <c:v>0.24424994911459397</c:v>
                </c:pt>
                <c:pt idx="13">
                  <c:v>0.22290809327846364</c:v>
                </c:pt>
                <c:pt idx="14">
                  <c:v>0.20411138649948973</c:v>
                </c:pt>
                <c:pt idx="15">
                  <c:v>0.18749999999999994</c:v>
                </c:pt>
                <c:pt idx="16">
                  <c:v>0.17276751970629523</c:v>
                </c:pt>
                <c:pt idx="17">
                  <c:v>0.15965439519158522</c:v>
                </c:pt>
                <c:pt idx="18">
                  <c:v>0.14794115229719734</c:v>
                </c:pt>
                <c:pt idx="19">
                  <c:v>0.13744212962962962</c:v>
                </c:pt>
                <c:pt idx="20">
                  <c:v>0.12799999999999997</c:v>
                </c:pt>
                <c:pt idx="21">
                  <c:v>0.11948111060537095</c:v>
                </c:pt>
                <c:pt idx="22">
                  <c:v>0.11177157953563988</c:v>
                </c:pt>
                <c:pt idx="23">
                  <c:v>0.10477405247813407</c:v>
                </c:pt>
                <c:pt idx="24">
                  <c:v>9.8405018655951415E-2</c:v>
                </c:pt>
                <c:pt idx="25">
                  <c:v>9.259259259259256E-2</c:v>
                </c:pt>
                <c:pt idx="26">
                  <c:v>8.7274680272565505E-2</c:v>
                </c:pt>
                <c:pt idx="27">
                  <c:v>8.2397460937499958E-2</c:v>
                </c:pt>
                <c:pt idx="28">
                  <c:v>7.7914127500904318E-2</c:v>
                </c:pt>
                <c:pt idx="29">
                  <c:v>7.3783838795033543E-2</c:v>
                </c:pt>
                <c:pt idx="30">
                  <c:v>6.997084548104951E-2</c:v>
                </c:pt>
                <c:pt idx="31">
                  <c:v>6.6443758573388162E-2</c:v>
                </c:pt>
                <c:pt idx="32">
                  <c:v>6.3174935344402078E-2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46-427C-8AF7-3DEA8C247651}"/>
            </c:ext>
          </c:extLst>
        </c:ser>
        <c:ser>
          <c:idx val="3"/>
          <c:order val="2"/>
          <c:tx>
            <c:strRef>
              <c:f>'QA3-F-distr'!$E$8</c:f>
              <c:strCache>
                <c:ptCount val="1"/>
                <c:pt idx="0">
                  <c:v>k1= 64, k2= 64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'QA3-F-distr'!$B$9:$B$41</c:f>
              <c:numCache>
                <c:formatCode>0.0</c:formatCode>
                <c:ptCount val="33"/>
                <c:pt idx="0">
                  <c:v>1.0000000000000001E-5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</c:numCache>
            </c:numRef>
          </c:cat>
          <c:val>
            <c:numRef>
              <c:f>'QA3-F-distr'!$E$9:$E$41</c:f>
              <c:numCache>
                <c:formatCode>0.00</c:formatCode>
                <c:ptCount val="33"/>
                <c:pt idx="0">
                  <c:v>2.9303226281509433E-136</c:v>
                </c:pt>
                <c:pt idx="1">
                  <c:v>6.5775102828576619E-15</c:v>
                </c:pt>
                <c:pt idx="2">
                  <c:v>5.3891901131633561E-8</c:v>
                </c:pt>
                <c:pt idx="3">
                  <c:v>9.2379952478749373E-5</c:v>
                </c:pt>
                <c:pt idx="4">
                  <c:v>6.009783591185593E-3</c:v>
                </c:pt>
                <c:pt idx="5">
                  <c:v>7.3353854699765408E-2</c:v>
                </c:pt>
                <c:pt idx="6">
                  <c:v>0.33589478235198222</c:v>
                </c:pt>
                <c:pt idx="7">
                  <c:v>0.82509063553377082</c:v>
                </c:pt>
                <c:pt idx="8">
                  <c:v>1.3351887240289879</c:v>
                </c:pt>
                <c:pt idx="9">
                  <c:v>1.6161464681530715</c:v>
                </c:pt>
                <c:pt idx="10">
                  <c:v>1.5895480599674645</c:v>
                </c:pt>
                <c:pt idx="11">
                  <c:v>1.3437911072997772</c:v>
                </c:pt>
                <c:pt idx="12">
                  <c:v>1.0156882788763104</c:v>
                </c:pt>
                <c:pt idx="13">
                  <c:v>0.70608307622594557</c:v>
                </c:pt>
                <c:pt idx="14">
                  <c:v>0.46093854046286048</c:v>
                </c:pt>
                <c:pt idx="15">
                  <c:v>0.28698676021492542</c:v>
                </c:pt>
                <c:pt idx="16">
                  <c:v>0.17243228289914311</c:v>
                </c:pt>
                <c:pt idx="17">
                  <c:v>0.10088556774560903</c:v>
                </c:pt>
                <c:pt idx="18">
                  <c:v>5.7879802180465519E-2</c:v>
                </c:pt>
                <c:pt idx="19">
                  <c:v>3.2740337338945769E-2</c:v>
                </c:pt>
                <c:pt idx="20">
                  <c:v>1.833846367494122E-2</c:v>
                </c:pt>
                <c:pt idx="21">
                  <c:v>1.0205707501982027E-2</c:v>
                </c:pt>
                <c:pt idx="22">
                  <c:v>5.6584551618726964E-3</c:v>
                </c:pt>
                <c:pt idx="23">
                  <c:v>3.1323057678332073E-3</c:v>
                </c:pt>
                <c:pt idx="24">
                  <c:v>1.7341680803095961E-3</c:v>
                </c:pt>
                <c:pt idx="25">
                  <c:v>9.6156537458968083E-4</c:v>
                </c:pt>
                <c:pt idx="26">
                  <c:v>5.3457312803809889E-4</c:v>
                </c:pt>
                <c:pt idx="27">
                  <c:v>2.9823577242585759E-4</c:v>
                </c:pt>
                <c:pt idx="28">
                  <c:v>1.6708681244699924E-4</c:v>
                </c:pt>
                <c:pt idx="29">
                  <c:v>9.4058158340640282E-5</c:v>
                </c:pt>
                <c:pt idx="30">
                  <c:v>5.3224652807752276E-5</c:v>
                </c:pt>
                <c:pt idx="31">
                  <c:v>3.0285801017031617E-5</c:v>
                </c:pt>
                <c:pt idx="32">
                  <c:v>1.7333574375138775E-5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146-427C-8AF7-3DEA8C247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612680"/>
        <c:axId val="1045605792"/>
      </c:lineChart>
      <c:catAx>
        <c:axId val="104561268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5"/>
        <c:noMultiLvlLbl val="0"/>
      </c:catAx>
      <c:valAx>
        <c:axId val="1045605792"/>
        <c:scaling>
          <c:orientation val="minMax"/>
          <c:max val="1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33000562429694"/>
          <c:y val="0.27960484106153399"/>
          <c:w val="0.33636904761904762"/>
          <c:h val="0.4560677311169437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Triangular distribution</a:t>
            </a:r>
          </a:p>
          <a:p>
            <a:pPr>
              <a:defRPr sz="1200"/>
            </a:pPr>
            <a:r>
              <a:rPr lang="en-US" sz="1200"/>
              <a:t>Three params: a, b &amp; c (mode)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30483689538808"/>
          <c:y val="0.25289370078740153"/>
          <c:w val="0.79440944881889763"/>
          <c:h val="0.6139268008165647"/>
        </c:manualLayout>
      </c:layout>
      <c:lineChart>
        <c:grouping val="standard"/>
        <c:varyColors val="0"/>
        <c:ser>
          <c:idx val="0"/>
          <c:order val="0"/>
          <c:tx>
            <c:strRef>
              <c:f>'QA3-triangular'!$E$9</c:f>
              <c:strCache>
                <c:ptCount val="1"/>
                <c:pt idx="0">
                  <c:v>a= 0, b= 1, c= 0.8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'QA3-triangular'!$B$10:$B$30</c:f>
              <c:numCache>
                <c:formatCode>0.0</c:formatCode>
                <c:ptCount val="21"/>
                <c:pt idx="0">
                  <c:v>1.0000000000000001E-5</c:v>
                </c:pt>
                <c:pt idx="1">
                  <c:v>5.0010000000000006E-2</c:v>
                </c:pt>
                <c:pt idx="2">
                  <c:v>0.10001000000000002</c:v>
                </c:pt>
                <c:pt idx="3">
                  <c:v>0.15001000000000003</c:v>
                </c:pt>
                <c:pt idx="4">
                  <c:v>0.20001000000000002</c:v>
                </c:pt>
                <c:pt idx="5">
                  <c:v>0.25001000000000001</c:v>
                </c:pt>
                <c:pt idx="6">
                  <c:v>0.30001</c:v>
                </c:pt>
                <c:pt idx="7">
                  <c:v>0.35000999999999999</c:v>
                </c:pt>
                <c:pt idx="8">
                  <c:v>0.40000999999999998</c:v>
                </c:pt>
                <c:pt idx="9">
                  <c:v>0.45000999999999997</c:v>
                </c:pt>
                <c:pt idx="10">
                  <c:v>0.50000999999999995</c:v>
                </c:pt>
                <c:pt idx="11">
                  <c:v>0.55001</c:v>
                </c:pt>
                <c:pt idx="12">
                  <c:v>0.60001000000000004</c:v>
                </c:pt>
                <c:pt idx="13">
                  <c:v>0.65001000000000009</c:v>
                </c:pt>
                <c:pt idx="14">
                  <c:v>0.70001000000000013</c:v>
                </c:pt>
                <c:pt idx="15">
                  <c:v>0.75001000000000018</c:v>
                </c:pt>
                <c:pt idx="16">
                  <c:v>0.80001000000000022</c:v>
                </c:pt>
                <c:pt idx="17">
                  <c:v>0.85001000000000027</c:v>
                </c:pt>
                <c:pt idx="18">
                  <c:v>0.90001000000000031</c:v>
                </c:pt>
                <c:pt idx="19">
                  <c:v>0.95001000000000035</c:v>
                </c:pt>
                <c:pt idx="20">
                  <c:v>0.99999000000000005</c:v>
                </c:pt>
              </c:numCache>
            </c:numRef>
          </c:cat>
          <c:val>
            <c:numRef>
              <c:f>'QA3-triangular'!$E$10:$E$30</c:f>
              <c:numCache>
                <c:formatCode>0.00</c:formatCode>
                <c:ptCount val="21"/>
                <c:pt idx="0">
                  <c:v>2.5000000000000001E-5</c:v>
                </c:pt>
                <c:pt idx="1">
                  <c:v>0.125025</c:v>
                </c:pt>
                <c:pt idx="2">
                  <c:v>0.25002500000000005</c:v>
                </c:pt>
                <c:pt idx="3">
                  <c:v>0.37502500000000005</c:v>
                </c:pt>
                <c:pt idx="4">
                  <c:v>0.50002500000000005</c:v>
                </c:pt>
                <c:pt idx="5">
                  <c:v>0.62502499999999994</c:v>
                </c:pt>
                <c:pt idx="6">
                  <c:v>0.75002499999999994</c:v>
                </c:pt>
                <c:pt idx="7">
                  <c:v>0.87502499999999994</c:v>
                </c:pt>
                <c:pt idx="8">
                  <c:v>1.0000249999999999</c:v>
                </c:pt>
                <c:pt idx="9">
                  <c:v>1.1250249999999999</c:v>
                </c:pt>
                <c:pt idx="10">
                  <c:v>1.2500249999999997</c:v>
                </c:pt>
                <c:pt idx="11">
                  <c:v>1.3750249999999999</c:v>
                </c:pt>
                <c:pt idx="12">
                  <c:v>1.5000249999999999</c:v>
                </c:pt>
                <c:pt idx="13">
                  <c:v>1.6250250000000002</c:v>
                </c:pt>
                <c:pt idx="14">
                  <c:v>1.7500250000000002</c:v>
                </c:pt>
                <c:pt idx="15">
                  <c:v>1.8750250000000004</c:v>
                </c:pt>
                <c:pt idx="16">
                  <c:v>1.9998999999999982</c:v>
                </c:pt>
                <c:pt idx="17">
                  <c:v>1.4998999999999976</c:v>
                </c:pt>
                <c:pt idx="18">
                  <c:v>0.99989999999999712</c:v>
                </c:pt>
                <c:pt idx="19">
                  <c:v>0.49989999999999657</c:v>
                </c:pt>
                <c:pt idx="20">
                  <c:v>9.9999999999544924E-5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B-4B78-952B-BC478B12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612680"/>
        <c:axId val="1045605792"/>
      </c:lineChart>
      <c:catAx>
        <c:axId val="104561268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5"/>
        <c:noMultiLvlLbl val="0"/>
      </c:catAx>
      <c:valAx>
        <c:axId val="1045605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790143419572557"/>
          <c:y val="0.32590113735783027"/>
          <c:w val="0.36190569928758903"/>
          <c:h val="0.1713619130941965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Beta distribution</a:t>
            </a: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n-US" sz="1200">
                <a:solidFill>
                  <a:schemeClr val="tx1"/>
                </a:solidFill>
              </a:rPr>
              <a:t>Two params: 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30483689538808"/>
          <c:y val="0.29456036745406822"/>
          <c:w val="0.5473856392950881"/>
          <c:h val="0.57226013414989796"/>
        </c:manualLayout>
      </c:layout>
      <c:lineChart>
        <c:grouping val="standard"/>
        <c:varyColors val="0"/>
        <c:ser>
          <c:idx val="0"/>
          <c:order val="0"/>
          <c:tx>
            <c:strRef>
              <c:f>'QA3-beta'!$C$8</c:f>
              <c:strCache>
                <c:ptCount val="1"/>
                <c:pt idx="0">
                  <c:v>a= 0.5, b= 0.5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'QA3-beta'!$B$9:$B$29</c:f>
              <c:numCache>
                <c:formatCode>0.0</c:formatCode>
                <c:ptCount val="21"/>
                <c:pt idx="0">
                  <c:v>1.0000000000000001E-5</c:v>
                </c:pt>
                <c:pt idx="1">
                  <c:v>5.0010000000000006E-2</c:v>
                </c:pt>
                <c:pt idx="2">
                  <c:v>0.10001000000000002</c:v>
                </c:pt>
                <c:pt idx="3">
                  <c:v>0.15001000000000003</c:v>
                </c:pt>
                <c:pt idx="4">
                  <c:v>0.20001000000000002</c:v>
                </c:pt>
                <c:pt idx="5">
                  <c:v>0.25001000000000001</c:v>
                </c:pt>
                <c:pt idx="6">
                  <c:v>0.30001</c:v>
                </c:pt>
                <c:pt idx="7">
                  <c:v>0.35000999999999999</c:v>
                </c:pt>
                <c:pt idx="8">
                  <c:v>0.40000999999999998</c:v>
                </c:pt>
                <c:pt idx="9">
                  <c:v>0.45000999999999997</c:v>
                </c:pt>
                <c:pt idx="10">
                  <c:v>0.50000999999999995</c:v>
                </c:pt>
                <c:pt idx="11">
                  <c:v>0.55001</c:v>
                </c:pt>
                <c:pt idx="12">
                  <c:v>0.60001000000000004</c:v>
                </c:pt>
                <c:pt idx="13">
                  <c:v>0.65001000000000009</c:v>
                </c:pt>
                <c:pt idx="14">
                  <c:v>0.70001000000000013</c:v>
                </c:pt>
                <c:pt idx="15">
                  <c:v>0.75001000000000018</c:v>
                </c:pt>
                <c:pt idx="16">
                  <c:v>0.80001000000000022</c:v>
                </c:pt>
                <c:pt idx="17">
                  <c:v>0.85001000000000027</c:v>
                </c:pt>
                <c:pt idx="18">
                  <c:v>0.90001000000000031</c:v>
                </c:pt>
                <c:pt idx="19">
                  <c:v>0.95001000000000035</c:v>
                </c:pt>
                <c:pt idx="20">
                  <c:v>0.99999000000000005</c:v>
                </c:pt>
              </c:numCache>
            </c:numRef>
          </c:cat>
          <c:val>
            <c:numRef>
              <c:f>'QA3-beta'!$C$9:$C$29</c:f>
              <c:numCache>
                <c:formatCode>0.00</c:formatCode>
                <c:ptCount val="21"/>
                <c:pt idx="0">
                  <c:v>100.65892750486985</c:v>
                </c:pt>
                <c:pt idx="1">
                  <c:v>1.4603675802192362</c:v>
                </c:pt>
                <c:pt idx="2">
                  <c:v>1.060985800658746</c:v>
                </c:pt>
                <c:pt idx="3">
                  <c:v>0.89142151863556629</c:v>
                </c:pt>
                <c:pt idx="4">
                  <c:v>0.79575979535186103</c:v>
                </c:pt>
                <c:pt idx="5">
                  <c:v>0.73509539288518144</c:v>
                </c:pt>
                <c:pt idx="6">
                  <c:v>0.69460250297780446</c:v>
                </c:pt>
                <c:pt idx="7">
                  <c:v>0.66735445415221295</c:v>
                </c:pt>
                <c:pt idx="8">
                  <c:v>0.64974462723311965</c:v>
                </c:pt>
                <c:pt idx="9">
                  <c:v>0.63982565272461778</c:v>
                </c:pt>
                <c:pt idx="10">
                  <c:v>0.63661977249490531</c:v>
                </c:pt>
                <c:pt idx="11">
                  <c:v>0.63982823788399379</c:v>
                </c:pt>
                <c:pt idx="12">
                  <c:v>0.64975004179424301</c:v>
                </c:pt>
                <c:pt idx="13">
                  <c:v>0.66736325448875755</c:v>
                </c:pt>
                <c:pt idx="14">
                  <c:v>0.69461573362768436</c:v>
                </c:pt>
                <c:pt idx="15">
                  <c:v>0.73511499569037642</c:v>
                </c:pt>
                <c:pt idx="16">
                  <c:v>0.79578963690374538</c:v>
                </c:pt>
                <c:pt idx="17">
                  <c:v>0.8914704607684103</c:v>
                </c:pt>
                <c:pt idx="18">
                  <c:v>1.0610801146997213</c:v>
                </c:pt>
                <c:pt idx="19">
                  <c:v>1.4606443076643174</c:v>
                </c:pt>
                <c:pt idx="20">
                  <c:v>100.6589275050989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04-4690-9629-51D6777074AC}"/>
            </c:ext>
          </c:extLst>
        </c:ser>
        <c:ser>
          <c:idx val="2"/>
          <c:order val="1"/>
          <c:tx>
            <c:strRef>
              <c:f>'QA3-beta'!$D$8</c:f>
              <c:strCache>
                <c:ptCount val="1"/>
                <c:pt idx="0">
                  <c:v>a= 5, b= 5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'QA3-beta'!$B$9:$B$29</c:f>
              <c:numCache>
                <c:formatCode>0.0</c:formatCode>
                <c:ptCount val="21"/>
                <c:pt idx="0">
                  <c:v>1.0000000000000001E-5</c:v>
                </c:pt>
                <c:pt idx="1">
                  <c:v>5.0010000000000006E-2</c:v>
                </c:pt>
                <c:pt idx="2">
                  <c:v>0.10001000000000002</c:v>
                </c:pt>
                <c:pt idx="3">
                  <c:v>0.15001000000000003</c:v>
                </c:pt>
                <c:pt idx="4">
                  <c:v>0.20001000000000002</c:v>
                </c:pt>
                <c:pt idx="5">
                  <c:v>0.25001000000000001</c:v>
                </c:pt>
                <c:pt idx="6">
                  <c:v>0.30001</c:v>
                </c:pt>
                <c:pt idx="7">
                  <c:v>0.35000999999999999</c:v>
                </c:pt>
                <c:pt idx="8">
                  <c:v>0.40000999999999998</c:v>
                </c:pt>
                <c:pt idx="9">
                  <c:v>0.45000999999999997</c:v>
                </c:pt>
                <c:pt idx="10">
                  <c:v>0.50000999999999995</c:v>
                </c:pt>
                <c:pt idx="11">
                  <c:v>0.55001</c:v>
                </c:pt>
                <c:pt idx="12">
                  <c:v>0.60001000000000004</c:v>
                </c:pt>
                <c:pt idx="13">
                  <c:v>0.65001000000000009</c:v>
                </c:pt>
                <c:pt idx="14">
                  <c:v>0.70001000000000013</c:v>
                </c:pt>
                <c:pt idx="15">
                  <c:v>0.75001000000000018</c:v>
                </c:pt>
                <c:pt idx="16">
                  <c:v>0.80001000000000022</c:v>
                </c:pt>
                <c:pt idx="17">
                  <c:v>0.85001000000000027</c:v>
                </c:pt>
                <c:pt idx="18">
                  <c:v>0.90001000000000031</c:v>
                </c:pt>
                <c:pt idx="19">
                  <c:v>0.95001000000000035</c:v>
                </c:pt>
                <c:pt idx="20">
                  <c:v>0.99999000000000005</c:v>
                </c:pt>
              </c:numCache>
            </c:numRef>
          </c:cat>
          <c:val>
            <c:numRef>
              <c:f>'QA3-beta'!$D$9:$D$29</c:f>
              <c:numCache>
                <c:formatCode>0.00</c:formatCode>
                <c:ptCount val="21"/>
                <c:pt idx="0">
                  <c:v>6.2997480037799766E-18</c:v>
                </c:pt>
                <c:pt idx="1">
                  <c:v>3.2095496813832254E-3</c:v>
                </c:pt>
                <c:pt idx="2">
                  <c:v>4.1348998415911158E-2</c:v>
                </c:pt>
                <c:pt idx="3">
                  <c:v>0.16652393277994357</c:v>
                </c:pt>
                <c:pt idx="4">
                  <c:v>0.41293873397142711</c:v>
                </c:pt>
                <c:pt idx="5">
                  <c:v>0.77873906416105954</c:v>
                </c:pt>
                <c:pt idx="6">
                  <c:v>1.225323651213297</c:v>
                </c:pt>
                <c:pt idx="7">
                  <c:v>1.6876759452272099</c:v>
                </c:pt>
                <c:pt idx="8">
                  <c:v>2.0902584703471825</c:v>
                </c:pt>
                <c:pt idx="9">
                  <c:v>2.3640049452934511</c:v>
                </c:pt>
                <c:pt idx="10">
                  <c:v>2.4609374960625008</c:v>
                </c:pt>
                <c:pt idx="11">
                  <c:v>2.3639285342472927</c:v>
                </c:pt>
                <c:pt idx="12">
                  <c:v>2.0901191244273463</c:v>
                </c:pt>
                <c:pt idx="13">
                  <c:v>1.6874979140786632</c:v>
                </c:pt>
                <c:pt idx="14">
                  <c:v>1.2251369494534943</c:v>
                </c:pt>
                <c:pt idx="15">
                  <c:v>0.77857295087995537</c:v>
                </c:pt>
                <c:pt idx="16">
                  <c:v>0.41281487093148389</c:v>
                </c:pt>
                <c:pt idx="17">
                  <c:v>0.16645080891614425</c:v>
                </c:pt>
                <c:pt idx="18">
                  <c:v>4.1319605135776455E-2</c:v>
                </c:pt>
                <c:pt idx="19">
                  <c:v>3.2046883649893177E-3</c:v>
                </c:pt>
                <c:pt idx="20">
                  <c:v>6.2997480036652952E-18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04-4690-9629-51D6777074AC}"/>
            </c:ext>
          </c:extLst>
        </c:ser>
        <c:ser>
          <c:idx val="3"/>
          <c:order val="2"/>
          <c:tx>
            <c:strRef>
              <c:f>'QA3-beta'!$F$8</c:f>
              <c:strCache>
                <c:ptCount val="1"/>
                <c:pt idx="0">
                  <c:v>a= 4, b= 1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'QA3-beta'!$B$9:$B$29</c:f>
              <c:numCache>
                <c:formatCode>0.0</c:formatCode>
                <c:ptCount val="21"/>
                <c:pt idx="0">
                  <c:v>1.0000000000000001E-5</c:v>
                </c:pt>
                <c:pt idx="1">
                  <c:v>5.0010000000000006E-2</c:v>
                </c:pt>
                <c:pt idx="2">
                  <c:v>0.10001000000000002</c:v>
                </c:pt>
                <c:pt idx="3">
                  <c:v>0.15001000000000003</c:v>
                </c:pt>
                <c:pt idx="4">
                  <c:v>0.20001000000000002</c:v>
                </c:pt>
                <c:pt idx="5">
                  <c:v>0.25001000000000001</c:v>
                </c:pt>
                <c:pt idx="6">
                  <c:v>0.30001</c:v>
                </c:pt>
                <c:pt idx="7">
                  <c:v>0.35000999999999999</c:v>
                </c:pt>
                <c:pt idx="8">
                  <c:v>0.40000999999999998</c:v>
                </c:pt>
                <c:pt idx="9">
                  <c:v>0.45000999999999997</c:v>
                </c:pt>
                <c:pt idx="10">
                  <c:v>0.50000999999999995</c:v>
                </c:pt>
                <c:pt idx="11">
                  <c:v>0.55001</c:v>
                </c:pt>
                <c:pt idx="12">
                  <c:v>0.60001000000000004</c:v>
                </c:pt>
                <c:pt idx="13">
                  <c:v>0.65001000000000009</c:v>
                </c:pt>
                <c:pt idx="14">
                  <c:v>0.70001000000000013</c:v>
                </c:pt>
                <c:pt idx="15">
                  <c:v>0.75001000000000018</c:v>
                </c:pt>
                <c:pt idx="16">
                  <c:v>0.80001000000000022</c:v>
                </c:pt>
                <c:pt idx="17">
                  <c:v>0.85001000000000027</c:v>
                </c:pt>
                <c:pt idx="18">
                  <c:v>0.90001000000000031</c:v>
                </c:pt>
                <c:pt idx="19">
                  <c:v>0.95001000000000035</c:v>
                </c:pt>
                <c:pt idx="20">
                  <c:v>0.99999000000000005</c:v>
                </c:pt>
              </c:numCache>
            </c:numRef>
          </c:cat>
          <c:val>
            <c:numRef>
              <c:f>'QA3-beta'!$F$9:$F$29</c:f>
              <c:numCache>
                <c:formatCode>0.00</c:formatCode>
                <c:ptCount val="21"/>
                <c:pt idx="0">
                  <c:v>4.0000000000000043E-15</c:v>
                </c:pt>
                <c:pt idx="1">
                  <c:v>5.0030006000400043E-4</c:v>
                </c:pt>
                <c:pt idx="2">
                  <c:v>4.0012001200040006E-3</c:v>
                </c:pt>
                <c:pt idx="3">
                  <c:v>1.3502700180004015E-2</c:v>
                </c:pt>
                <c:pt idx="4">
                  <c:v>3.2004800240004003E-2</c:v>
                </c:pt>
                <c:pt idx="5">
                  <c:v>6.2507500300004001E-2</c:v>
                </c:pt>
                <c:pt idx="6">
                  <c:v>0.10801080036000398</c:v>
                </c:pt>
                <c:pt idx="7">
                  <c:v>0.17151470042000388</c:v>
                </c:pt>
                <c:pt idx="8">
                  <c:v>0.25601920048000404</c:v>
                </c:pt>
                <c:pt idx="9">
                  <c:v>0.36452430054000384</c:v>
                </c:pt>
                <c:pt idx="10">
                  <c:v>0.5000300006000038</c:v>
                </c:pt>
                <c:pt idx="11">
                  <c:v>0.6655363006600038</c:v>
                </c:pt>
                <c:pt idx="12">
                  <c:v>0.86404320072000418</c:v>
                </c:pt>
                <c:pt idx="13">
                  <c:v>1.0985507007800046</c:v>
                </c:pt>
                <c:pt idx="14">
                  <c:v>1.372058800840005</c:v>
                </c:pt>
                <c:pt idx="15">
                  <c:v>1.6875675009000051</c:v>
                </c:pt>
                <c:pt idx="16">
                  <c:v>2.0480768009600054</c:v>
                </c:pt>
                <c:pt idx="17">
                  <c:v>2.4565867010200062</c:v>
                </c:pt>
                <c:pt idx="18">
                  <c:v>2.9160972010800066</c:v>
                </c:pt>
                <c:pt idx="19">
                  <c:v>3.4296083011400071</c:v>
                </c:pt>
                <c:pt idx="20">
                  <c:v>3.9998800011999962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A04-4690-9629-51D6777074AC}"/>
            </c:ext>
          </c:extLst>
        </c:ser>
        <c:ser>
          <c:idx val="1"/>
          <c:order val="3"/>
          <c:tx>
            <c:strRef>
              <c:f>'QA3-beta'!$E$8</c:f>
              <c:strCache>
                <c:ptCount val="1"/>
                <c:pt idx="0">
                  <c:v>a= 2, b= 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'QA3-beta'!$B$9:$B$29</c:f>
              <c:numCache>
                <c:formatCode>0.0</c:formatCode>
                <c:ptCount val="21"/>
                <c:pt idx="0">
                  <c:v>1.0000000000000001E-5</c:v>
                </c:pt>
                <c:pt idx="1">
                  <c:v>5.0010000000000006E-2</c:v>
                </c:pt>
                <c:pt idx="2">
                  <c:v>0.10001000000000002</c:v>
                </c:pt>
                <c:pt idx="3">
                  <c:v>0.15001000000000003</c:v>
                </c:pt>
                <c:pt idx="4">
                  <c:v>0.20001000000000002</c:v>
                </c:pt>
                <c:pt idx="5">
                  <c:v>0.25001000000000001</c:v>
                </c:pt>
                <c:pt idx="6">
                  <c:v>0.30001</c:v>
                </c:pt>
                <c:pt idx="7">
                  <c:v>0.35000999999999999</c:v>
                </c:pt>
                <c:pt idx="8">
                  <c:v>0.40000999999999998</c:v>
                </c:pt>
                <c:pt idx="9">
                  <c:v>0.45000999999999997</c:v>
                </c:pt>
                <c:pt idx="10">
                  <c:v>0.50000999999999995</c:v>
                </c:pt>
                <c:pt idx="11">
                  <c:v>0.55001</c:v>
                </c:pt>
                <c:pt idx="12">
                  <c:v>0.60001000000000004</c:v>
                </c:pt>
                <c:pt idx="13">
                  <c:v>0.65001000000000009</c:v>
                </c:pt>
                <c:pt idx="14">
                  <c:v>0.70001000000000013</c:v>
                </c:pt>
                <c:pt idx="15">
                  <c:v>0.75001000000000018</c:v>
                </c:pt>
                <c:pt idx="16">
                  <c:v>0.80001000000000022</c:v>
                </c:pt>
                <c:pt idx="17">
                  <c:v>0.85001000000000027</c:v>
                </c:pt>
                <c:pt idx="18">
                  <c:v>0.90001000000000031</c:v>
                </c:pt>
                <c:pt idx="19">
                  <c:v>0.95001000000000035</c:v>
                </c:pt>
                <c:pt idx="20">
                  <c:v>0.99999000000000005</c:v>
                </c:pt>
              </c:numCache>
            </c:numRef>
          </c:cat>
          <c:val>
            <c:numRef>
              <c:f>'QA3-beta'!$E$9:$E$29</c:f>
              <c:numCache>
                <c:formatCode>0.00</c:formatCode>
                <c:ptCount val="21"/>
                <c:pt idx="0">
                  <c:v>4.1997900041999554E-4</c:v>
                </c:pt>
                <c:pt idx="1">
                  <c:v>1.6251794182836978</c:v>
                </c:pt>
                <c:pt idx="2">
                  <c:v>2.4801682140839723</c:v>
                </c:pt>
                <c:pt idx="3">
                  <c:v>2.7953653859195686</c:v>
                </c:pt>
                <c:pt idx="4">
                  <c:v>2.7524775892993611</c:v>
                </c:pt>
                <c:pt idx="5">
                  <c:v>2.4916327712227742</c:v>
                </c:pt>
                <c:pt idx="6">
                  <c:v>2.1176013256797823</c:v>
                </c:pt>
                <c:pt idx="7">
                  <c:v>1.7055447491509097</c:v>
                </c:pt>
                <c:pt idx="8">
                  <c:v>1.3062917961072305</c:v>
                </c:pt>
                <c:pt idx="9">
                  <c:v>0.95114213451036911</c:v>
                </c:pt>
                <c:pt idx="10">
                  <c:v>0.65619750131250021</c:v>
                </c:pt>
                <c:pt idx="11">
                  <c:v>0.42622035795634777</c:v>
                </c:pt>
                <c:pt idx="12">
                  <c:v>0.25802004587518662</c:v>
                </c:pt>
                <c:pt idx="13">
                  <c:v>0.14336644199284057</c:v>
                </c:pt>
                <c:pt idx="14">
                  <c:v>7.1431114223684714E-2</c:v>
                </c:pt>
                <c:pt idx="15">
                  <c:v>3.0755976972643023E-2</c:v>
                </c:pt>
                <c:pt idx="16">
                  <c:v>1.0749446635189855E-2</c:v>
                </c:pt>
                <c:pt idx="17">
                  <c:v>2.7100970973496117E-3</c:v>
                </c:pt>
                <c:pt idx="18">
                  <c:v>3.7781523569663478E-4</c:v>
                </c:pt>
                <c:pt idx="19">
                  <c:v>1.2456417355304661E-5</c:v>
                </c:pt>
                <c:pt idx="20">
                  <c:v>4.1999579999044268E-24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4-4690-9629-51D67770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612680"/>
        <c:axId val="1045605792"/>
      </c:lineChart>
      <c:catAx>
        <c:axId val="104561268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5"/>
        <c:noMultiLvlLbl val="0"/>
      </c:catAx>
      <c:valAx>
        <c:axId val="1045605792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02048181477311"/>
          <c:y val="0.40460484106153399"/>
          <c:w val="0.36190569928758903"/>
          <c:h val="0.3009915427238261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r>
              <a:rPr lang="en-US" sz="1200"/>
              <a:t>Normal Mixture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8571428571433"/>
          <c:y val="7.6923076923076927E-2"/>
          <c:w val="0.72140859441750105"/>
          <c:h val="0.78249336870026476"/>
        </c:manualLayout>
      </c:layout>
      <c:lineChart>
        <c:grouping val="standard"/>
        <c:varyColors val="0"/>
        <c:ser>
          <c:idx val="0"/>
          <c:order val="0"/>
          <c:tx>
            <c:strRef>
              <c:f>'QA3-normal-mixture'!$K$8</c:f>
              <c:strCache>
                <c:ptCount val="1"/>
                <c:pt idx="0">
                  <c:v>N(0, 1)</c:v>
                </c:pt>
              </c:strCache>
            </c:strRef>
          </c:tx>
          <c:spPr>
            <a:ln w="38100" cap="rnd" cmpd="sng" algn="ctr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'QA3-normal-mixture'!$J$9:$J$37</c:f>
              <c:numCache>
                <c:formatCode>#,##0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cat>
          <c:val>
            <c:numRef>
              <c:f>'QA3-normal-mixture'!$K$9:$K$37</c:f>
              <c:numCache>
                <c:formatCode>_-* #,##0.0000_-;\-* #,##0.0000_-;_-* "-"??_-;_-@_-</c:formatCode>
                <c:ptCount val="29"/>
                <c:pt idx="0">
                  <c:v>9.1347204083645936E-12</c:v>
                </c:pt>
                <c:pt idx="1">
                  <c:v>2.6695566147628519E-10</c:v>
                </c:pt>
                <c:pt idx="2">
                  <c:v>6.0758828498232861E-9</c:v>
                </c:pt>
                <c:pt idx="3">
                  <c:v>1.0769760042543276E-7</c:v>
                </c:pt>
                <c:pt idx="4">
                  <c:v>1.4867195147342977E-6</c:v>
                </c:pt>
                <c:pt idx="5">
                  <c:v>1.5983741106905475E-5</c:v>
                </c:pt>
                <c:pt idx="6">
                  <c:v>1.3383022576488537E-4</c:v>
                </c:pt>
                <c:pt idx="7">
                  <c:v>8.7268269504576015E-4</c:v>
                </c:pt>
                <c:pt idx="8">
                  <c:v>4.4318484119380075E-3</c:v>
                </c:pt>
                <c:pt idx="9">
                  <c:v>1.752830049356854E-2</c:v>
                </c:pt>
                <c:pt idx="10">
                  <c:v>5.3990966513188063E-2</c:v>
                </c:pt>
                <c:pt idx="11">
                  <c:v>0.12951759566589174</c:v>
                </c:pt>
                <c:pt idx="12">
                  <c:v>0.24197072451914337</c:v>
                </c:pt>
                <c:pt idx="13">
                  <c:v>0.35206532676429952</c:v>
                </c:pt>
                <c:pt idx="14">
                  <c:v>0.3989422804014327</c:v>
                </c:pt>
                <c:pt idx="15">
                  <c:v>0.35206532676429952</c:v>
                </c:pt>
                <c:pt idx="16">
                  <c:v>0.24197072451914337</c:v>
                </c:pt>
                <c:pt idx="17">
                  <c:v>0.12951759566589174</c:v>
                </c:pt>
                <c:pt idx="18">
                  <c:v>5.3990966513188063E-2</c:v>
                </c:pt>
                <c:pt idx="19">
                  <c:v>1.752830049356854E-2</c:v>
                </c:pt>
                <c:pt idx="20">
                  <c:v>4.4318484119380075E-3</c:v>
                </c:pt>
                <c:pt idx="21">
                  <c:v>8.7268269504576015E-4</c:v>
                </c:pt>
                <c:pt idx="22">
                  <c:v>1.3383022576488537E-4</c:v>
                </c:pt>
                <c:pt idx="23">
                  <c:v>1.5983741106905475E-5</c:v>
                </c:pt>
                <c:pt idx="24">
                  <c:v>1.4867195147342977E-6</c:v>
                </c:pt>
                <c:pt idx="25">
                  <c:v>1.0769760042543276E-7</c:v>
                </c:pt>
                <c:pt idx="26">
                  <c:v>6.0758828498232861E-9</c:v>
                </c:pt>
                <c:pt idx="27">
                  <c:v>2.6695566147628519E-10</c:v>
                </c:pt>
                <c:pt idx="28">
                  <c:v>9.1347204083645936E-12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71-4DD9-99B6-5B2C25CDC6DE}"/>
            </c:ext>
          </c:extLst>
        </c:ser>
        <c:ser>
          <c:idx val="1"/>
          <c:order val="1"/>
          <c:tx>
            <c:strRef>
              <c:f>'QA3-normal-mixture'!$L$8</c:f>
              <c:strCache>
                <c:ptCount val="1"/>
                <c:pt idx="0">
                  <c:v>N(-1, 4)</c:v>
                </c:pt>
              </c:strCache>
            </c:strRef>
          </c:tx>
          <c:spPr>
            <a:ln w="38100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'QA3-normal-mixture'!$J$9:$J$37</c:f>
              <c:numCache>
                <c:formatCode>#,##0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cat>
          <c:val>
            <c:numRef>
              <c:f>'QA3-normal-mixture'!$L$9:$L$37</c:f>
              <c:numCache>
                <c:formatCode>_-* #,##0.0000_-;\-* #,##0.0000_-;_-* "-"??_-;_-@_-</c:formatCode>
                <c:ptCount val="29"/>
                <c:pt idx="0">
                  <c:v>3.2379398916472936E-2</c:v>
                </c:pt>
                <c:pt idx="1">
                  <c:v>3.8753066364573305E-2</c:v>
                </c:pt>
                <c:pt idx="2">
                  <c:v>4.5662271347255479E-2</c:v>
                </c:pt>
                <c:pt idx="3">
                  <c:v>5.296916144392487E-2</c:v>
                </c:pt>
                <c:pt idx="4">
                  <c:v>6.0492681129785841E-2</c:v>
                </c:pt>
                <c:pt idx="5">
                  <c:v>6.8013749594635881E-2</c:v>
                </c:pt>
                <c:pt idx="6">
                  <c:v>7.5284358038701107E-2</c:v>
                </c:pt>
                <c:pt idx="7">
                  <c:v>8.2040242137593769E-2</c:v>
                </c:pt>
                <c:pt idx="8">
                  <c:v>8.8016331691074881E-2</c:v>
                </c:pt>
                <c:pt idx="9">
                  <c:v>9.2963773467442237E-2</c:v>
                </c:pt>
                <c:pt idx="10">
                  <c:v>9.6667029200712309E-2</c:v>
                </c:pt>
                <c:pt idx="11">
                  <c:v>9.8959421736187381E-2</c:v>
                </c:pt>
                <c:pt idx="12">
                  <c:v>9.9735570100358176E-2</c:v>
                </c:pt>
                <c:pt idx="13">
                  <c:v>9.8959421736187381E-2</c:v>
                </c:pt>
                <c:pt idx="14">
                  <c:v>9.6667029200712309E-2</c:v>
                </c:pt>
                <c:pt idx="15">
                  <c:v>9.2963773467442237E-2</c:v>
                </c:pt>
                <c:pt idx="16">
                  <c:v>8.8016331691074881E-2</c:v>
                </c:pt>
                <c:pt idx="17">
                  <c:v>8.2040242137593769E-2</c:v>
                </c:pt>
                <c:pt idx="18">
                  <c:v>7.5284358038701107E-2</c:v>
                </c:pt>
                <c:pt idx="19">
                  <c:v>6.8013749594635881E-2</c:v>
                </c:pt>
                <c:pt idx="20">
                  <c:v>6.0492681129785841E-2</c:v>
                </c:pt>
                <c:pt idx="21">
                  <c:v>5.296916144392487E-2</c:v>
                </c:pt>
                <c:pt idx="22">
                  <c:v>4.5662271347255479E-2</c:v>
                </c:pt>
                <c:pt idx="23">
                  <c:v>3.8753066364573305E-2</c:v>
                </c:pt>
                <c:pt idx="24">
                  <c:v>3.2379398916472936E-2</c:v>
                </c:pt>
                <c:pt idx="25">
                  <c:v>2.6634567032646269E-2</c:v>
                </c:pt>
                <c:pt idx="26">
                  <c:v>2.1569329706627883E-2</c:v>
                </c:pt>
                <c:pt idx="27">
                  <c:v>1.7196568956672976E-2</c:v>
                </c:pt>
                <c:pt idx="28">
                  <c:v>1.3497741628297016E-2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71-4DD9-99B6-5B2C25CDC6DE}"/>
            </c:ext>
          </c:extLst>
        </c:ser>
        <c:ser>
          <c:idx val="2"/>
          <c:order val="2"/>
          <c:tx>
            <c:strRef>
              <c:f>'QA3-normal-mixture'!$M$8</c:f>
              <c:strCache>
                <c:ptCount val="1"/>
                <c:pt idx="0">
                  <c:v>0.5N(0,1) + 0.5N(-1,4)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'QA3-normal-mixture'!$J$9:$J$37</c:f>
              <c:numCache>
                <c:formatCode>#,##0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cat>
          <c:val>
            <c:numRef>
              <c:f>'QA3-normal-mixture'!$M$9:$M$37</c:f>
              <c:numCache>
                <c:formatCode>_-* #,##0.0000_-;\-* #,##0.0000_-;_-* "-"??_-;_-@_-</c:formatCode>
                <c:ptCount val="29"/>
                <c:pt idx="0">
                  <c:v>1.6189699462803828E-2</c:v>
                </c:pt>
                <c:pt idx="1">
                  <c:v>1.9376533315764482E-2</c:v>
                </c:pt>
                <c:pt idx="2">
                  <c:v>2.2831138711569166E-2</c:v>
                </c:pt>
                <c:pt idx="3">
                  <c:v>2.6484634570762649E-2</c:v>
                </c:pt>
                <c:pt idx="4">
                  <c:v>3.0247083924650288E-2</c:v>
                </c:pt>
                <c:pt idx="5">
                  <c:v>3.4014866667871395E-2</c:v>
                </c:pt>
                <c:pt idx="6">
                  <c:v>3.7709094132232994E-2</c:v>
                </c:pt>
                <c:pt idx="7">
                  <c:v>4.1456462416319763E-2</c:v>
                </c:pt>
                <c:pt idx="8">
                  <c:v>4.6224090051506447E-2</c:v>
                </c:pt>
                <c:pt idx="9">
                  <c:v>5.5246036980505391E-2</c:v>
                </c:pt>
                <c:pt idx="10">
                  <c:v>7.5328997856950186E-2</c:v>
                </c:pt>
                <c:pt idx="11">
                  <c:v>0.11423850870103956</c:v>
                </c:pt>
                <c:pt idx="12">
                  <c:v>0.17085314730975076</c:v>
                </c:pt>
                <c:pt idx="13">
                  <c:v>0.22551237425024345</c:v>
                </c:pt>
                <c:pt idx="14">
                  <c:v>0.2478046548010725</c:v>
                </c:pt>
                <c:pt idx="15">
                  <c:v>0.22251455011587087</c:v>
                </c:pt>
                <c:pt idx="16">
                  <c:v>0.16499352810510912</c:v>
                </c:pt>
                <c:pt idx="17">
                  <c:v>0.10577891890174276</c:v>
                </c:pt>
                <c:pt idx="18">
                  <c:v>6.4637662275944585E-2</c:v>
                </c:pt>
                <c:pt idx="19">
                  <c:v>4.2771025044102212E-2</c:v>
                </c:pt>
                <c:pt idx="20">
                  <c:v>3.2462264770861927E-2</c:v>
                </c:pt>
                <c:pt idx="21">
                  <c:v>2.6920922069485313E-2</c:v>
                </c:pt>
                <c:pt idx="22">
                  <c:v>2.2898050786510183E-2</c:v>
                </c:pt>
                <c:pt idx="23">
                  <c:v>1.9384525052840103E-2</c:v>
                </c:pt>
                <c:pt idx="24">
                  <c:v>1.6190442817993835E-2</c:v>
                </c:pt>
                <c:pt idx="25">
                  <c:v>1.3317337365123347E-2</c:v>
                </c:pt>
                <c:pt idx="26">
                  <c:v>1.0784667891255366E-2</c:v>
                </c:pt>
                <c:pt idx="27">
                  <c:v>8.5982846118143191E-3</c:v>
                </c:pt>
                <c:pt idx="28">
                  <c:v>6.7488708187158682E-3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71-4DD9-99B6-5B2C25CDC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85632"/>
        <c:axId val="95287168"/>
      </c:lineChart>
      <c:catAx>
        <c:axId val="952856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7168"/>
        <c:crosses val="autoZero"/>
        <c:auto val="1"/>
        <c:lblAlgn val="ctr"/>
        <c:lblOffset val="100"/>
        <c:tickLblSkip val="2"/>
        <c:noMultiLvlLbl val="0"/>
      </c:catAx>
      <c:valAx>
        <c:axId val="95287168"/>
        <c:scaling>
          <c:orientation val="minMax"/>
          <c:min val="0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5632"/>
        <c:crossesAt val="-7.5"/>
        <c:crossBetween val="between"/>
      </c:valAx>
      <c:spPr>
        <a:noFill/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55022330216535431"/>
          <c:y val="0.16676547784468115"/>
          <c:w val="0.44977669783464569"/>
          <c:h val="0.21675524934383203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r>
              <a:rPr lang="en-US" sz="1200"/>
              <a:t>Normal Mixture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8571428571433"/>
          <c:y val="7.6923076923076927E-2"/>
          <c:w val="0.70296458844283805"/>
          <c:h val="0.78249336870026476"/>
        </c:manualLayout>
      </c:layout>
      <c:lineChart>
        <c:grouping val="standard"/>
        <c:varyColors val="0"/>
        <c:ser>
          <c:idx val="0"/>
          <c:order val="0"/>
          <c:tx>
            <c:strRef>
              <c:f>'QA3-normal-mixture'!$P$8</c:f>
              <c:strCache>
                <c:ptCount val="1"/>
                <c:pt idx="0">
                  <c:v>N(2, 1)</c:v>
                </c:pt>
              </c:strCache>
            </c:strRef>
          </c:tx>
          <c:spPr>
            <a:ln w="38100" cap="rnd" cmpd="sng" algn="ctr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'QA3-normal-mixture'!$O$11:$O$35</c:f>
              <c:numCache>
                <c:formatCode>#,##0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cat>
          <c:val>
            <c:numRef>
              <c:f>'QA3-normal-mixture'!$P$11:$P$35</c:f>
              <c:numCache>
                <c:formatCode>_-* #,##0.0000_-;\-* #,##0.0000_-;_-* "-"??_-;_-@_-</c:formatCode>
                <c:ptCount val="25"/>
                <c:pt idx="0">
                  <c:v>5.0522710835368927E-15</c:v>
                </c:pt>
                <c:pt idx="1">
                  <c:v>2.4343205330290096E-13</c:v>
                </c:pt>
                <c:pt idx="2">
                  <c:v>9.1347204083645936E-12</c:v>
                </c:pt>
                <c:pt idx="3">
                  <c:v>2.6695566147628519E-10</c:v>
                </c:pt>
                <c:pt idx="4">
                  <c:v>6.0758828498232861E-9</c:v>
                </c:pt>
                <c:pt idx="5">
                  <c:v>1.0769760042543276E-7</c:v>
                </c:pt>
                <c:pt idx="6">
                  <c:v>1.4867195147342977E-6</c:v>
                </c:pt>
                <c:pt idx="7">
                  <c:v>1.5983741106905475E-5</c:v>
                </c:pt>
                <c:pt idx="8">
                  <c:v>1.3383022576488537E-4</c:v>
                </c:pt>
                <c:pt idx="9">
                  <c:v>8.7268269504576015E-4</c:v>
                </c:pt>
                <c:pt idx="10">
                  <c:v>4.4318484119380075E-3</c:v>
                </c:pt>
                <c:pt idx="11">
                  <c:v>1.752830049356854E-2</c:v>
                </c:pt>
                <c:pt idx="12">
                  <c:v>5.3990966513188063E-2</c:v>
                </c:pt>
                <c:pt idx="13">
                  <c:v>0.12951759566589174</c:v>
                </c:pt>
                <c:pt idx="14">
                  <c:v>0.24197072451914337</c:v>
                </c:pt>
                <c:pt idx="15">
                  <c:v>0.35206532676429952</c:v>
                </c:pt>
                <c:pt idx="16">
                  <c:v>0.3989422804014327</c:v>
                </c:pt>
                <c:pt idx="17">
                  <c:v>0.35206532676429952</c:v>
                </c:pt>
                <c:pt idx="18">
                  <c:v>0.24197072451914337</c:v>
                </c:pt>
                <c:pt idx="19">
                  <c:v>0.12951759566589174</c:v>
                </c:pt>
                <c:pt idx="20">
                  <c:v>5.3990966513188063E-2</c:v>
                </c:pt>
                <c:pt idx="21">
                  <c:v>1.752830049356854E-2</c:v>
                </c:pt>
                <c:pt idx="22">
                  <c:v>4.4318484119380075E-3</c:v>
                </c:pt>
                <c:pt idx="23">
                  <c:v>8.7268269504576015E-4</c:v>
                </c:pt>
                <c:pt idx="24">
                  <c:v>1.3383022576488537E-4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77-4459-9026-72A97259EE84}"/>
            </c:ext>
          </c:extLst>
        </c:ser>
        <c:ser>
          <c:idx val="1"/>
          <c:order val="1"/>
          <c:tx>
            <c:strRef>
              <c:f>'QA3-normal-mixture'!$Q$8</c:f>
              <c:strCache>
                <c:ptCount val="1"/>
                <c:pt idx="0">
                  <c:v>N(-2, 1)</c:v>
                </c:pt>
              </c:strCache>
            </c:strRef>
          </c:tx>
          <c:spPr>
            <a:ln w="38100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'QA3-normal-mixture'!$O$11:$O$35</c:f>
              <c:numCache>
                <c:formatCode>#,##0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cat>
          <c:val>
            <c:numRef>
              <c:f>'QA3-normal-mixture'!$Q$11:$Q$35</c:f>
              <c:numCache>
                <c:formatCode>_-* #,##0.0000_-;\-* #,##0.0000_-;_-* "-"??_-;_-@_-</c:formatCode>
                <c:ptCount val="25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5.3990966513188063E-2</c:v>
                </c:pt>
                <c:pt idx="5">
                  <c:v>0.12951759566589174</c:v>
                </c:pt>
                <c:pt idx="6">
                  <c:v>0.24197072451914337</c:v>
                </c:pt>
                <c:pt idx="7">
                  <c:v>0.35206532676429952</c:v>
                </c:pt>
                <c:pt idx="8">
                  <c:v>0.3989422804014327</c:v>
                </c:pt>
                <c:pt idx="9">
                  <c:v>0.35206532676429952</c:v>
                </c:pt>
                <c:pt idx="10">
                  <c:v>0.24197072451914337</c:v>
                </c:pt>
                <c:pt idx="11">
                  <c:v>0.12951759566589174</c:v>
                </c:pt>
                <c:pt idx="12">
                  <c:v>5.3990966513188063E-2</c:v>
                </c:pt>
                <c:pt idx="13">
                  <c:v>1.752830049356854E-2</c:v>
                </c:pt>
                <c:pt idx="14">
                  <c:v>4.4318484119380075E-3</c:v>
                </c:pt>
                <c:pt idx="15">
                  <c:v>8.7268269504576015E-4</c:v>
                </c:pt>
                <c:pt idx="16">
                  <c:v>1.3383022576488537E-4</c:v>
                </c:pt>
                <c:pt idx="17">
                  <c:v>1.5983741106905475E-5</c:v>
                </c:pt>
                <c:pt idx="18">
                  <c:v>1.4867195147342977E-6</c:v>
                </c:pt>
                <c:pt idx="19">
                  <c:v>1.0769760042543276E-7</c:v>
                </c:pt>
                <c:pt idx="20">
                  <c:v>6.0758828498232861E-9</c:v>
                </c:pt>
                <c:pt idx="21">
                  <c:v>2.6695566147628519E-10</c:v>
                </c:pt>
                <c:pt idx="22">
                  <c:v>9.1347204083645936E-12</c:v>
                </c:pt>
                <c:pt idx="23">
                  <c:v>2.4343205330290096E-13</c:v>
                </c:pt>
                <c:pt idx="24">
                  <c:v>5.0522710835368927E-15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77-4459-9026-72A97259EE84}"/>
            </c:ext>
          </c:extLst>
        </c:ser>
        <c:ser>
          <c:idx val="2"/>
          <c:order val="2"/>
          <c:tx>
            <c:strRef>
              <c:f>'QA3-normal-mixture'!$R$8</c:f>
              <c:strCache>
                <c:ptCount val="1"/>
                <c:pt idx="0">
                  <c:v>0.5N(2,1) + 0.5N(-2,1)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'QA3-normal-mixture'!$O$11:$O$35</c:f>
              <c:numCache>
                <c:formatCode>#,##0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cat>
          <c:val>
            <c:numRef>
              <c:f>'QA3-normal-mixture'!$R$11:$R$35</c:f>
              <c:numCache>
                <c:formatCode>_-* #,##0.0000_-;\-* #,##0.0000_-;_-* "-"??_-;_-@_-</c:formatCode>
                <c:ptCount val="25"/>
                <c:pt idx="0">
                  <c:v>6.6915112884968821E-5</c:v>
                </c:pt>
                <c:pt idx="1">
                  <c:v>4.3634134764459608E-4</c:v>
                </c:pt>
                <c:pt idx="2">
                  <c:v>2.2159242105363641E-3</c:v>
                </c:pt>
                <c:pt idx="3">
                  <c:v>8.7641503802621014E-3</c:v>
                </c:pt>
                <c:pt idx="4">
                  <c:v>2.6995486294535458E-2</c:v>
                </c:pt>
                <c:pt idx="5">
                  <c:v>6.4758851681746082E-2</c:v>
                </c:pt>
                <c:pt idx="6">
                  <c:v>0.12098610561932904</c:v>
                </c:pt>
                <c:pt idx="7">
                  <c:v>0.17604065525270321</c:v>
                </c:pt>
                <c:pt idx="8">
                  <c:v>0.19953805531359881</c:v>
                </c:pt>
                <c:pt idx="9">
                  <c:v>0.17646900472967264</c:v>
                </c:pt>
                <c:pt idx="10">
                  <c:v>0.12320128646554068</c:v>
                </c:pt>
                <c:pt idx="11">
                  <c:v>7.3522948079730144E-2</c:v>
                </c:pt>
                <c:pt idx="12">
                  <c:v>5.3990966513188063E-2</c:v>
                </c:pt>
                <c:pt idx="13">
                  <c:v>7.3522948079730144E-2</c:v>
                </c:pt>
                <c:pt idx="14">
                  <c:v>0.12320128646554068</c:v>
                </c:pt>
                <c:pt idx="15">
                  <c:v>0.17646900472967264</c:v>
                </c:pt>
                <c:pt idx="16">
                  <c:v>0.19953805531359881</c:v>
                </c:pt>
                <c:pt idx="17">
                  <c:v>0.17604065525270321</c:v>
                </c:pt>
                <c:pt idx="18">
                  <c:v>0.12098610561932904</c:v>
                </c:pt>
                <c:pt idx="19">
                  <c:v>6.4758851681746082E-2</c:v>
                </c:pt>
                <c:pt idx="20">
                  <c:v>2.6995486294535458E-2</c:v>
                </c:pt>
                <c:pt idx="21">
                  <c:v>8.7641503802621014E-3</c:v>
                </c:pt>
                <c:pt idx="22">
                  <c:v>2.2159242105363641E-3</c:v>
                </c:pt>
                <c:pt idx="23">
                  <c:v>4.3634134764459608E-4</c:v>
                </c:pt>
                <c:pt idx="24">
                  <c:v>6.6915112884968821E-5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77-4459-9026-72A97259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85632"/>
        <c:axId val="95287168"/>
      </c:lineChart>
      <c:catAx>
        <c:axId val="952856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7168"/>
        <c:crosses val="autoZero"/>
        <c:auto val="1"/>
        <c:lblAlgn val="ctr"/>
        <c:lblOffset val="100"/>
        <c:tickLblSkip val="2"/>
        <c:noMultiLvlLbl val="0"/>
      </c:catAx>
      <c:valAx>
        <c:axId val="95287168"/>
        <c:scaling>
          <c:orientation val="minMax"/>
          <c:min val="0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5632"/>
        <c:crossesAt val="-7.5"/>
        <c:crossBetween val="between"/>
      </c:valAx>
      <c:spPr>
        <a:noFill/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65639024630117948"/>
          <c:y val="0.14009868766404199"/>
          <c:w val="0.34360975369882041"/>
          <c:h val="0.52786631671041118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'QA3-Normal_binomial_Poisson'!$E$4</c:f>
              <c:strCache>
                <c:ptCount val="1"/>
                <c:pt idx="0">
                  <c:v>Poisson</c:v>
                </c:pt>
              </c:strCache>
            </c:strRef>
          </c:tx>
          <c:invertIfNegative val="0"/>
          <c:cat>
            <c:numRef>
              <c:f>'QA3-Normal_binomial_Poisson'!$B$13:$B$93</c:f>
              <c:numCache>
                <c:formatCode>_(* #,##0.0_);_(* \(#,##0.0\);_(* "-"??_);_(@_)</c:formatCode>
                <c:ptCount val="8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</c:numCache>
            </c:numRef>
          </c:cat>
          <c:val>
            <c:numRef>
              <c:f>'QA3-Normal_binomial_Poisson'!$E$13:$E$93</c:f>
              <c:numCache>
                <c:formatCode>0.000%</c:formatCode>
                <c:ptCount val="81"/>
                <c:pt idx="0">
                  <c:v>3.324036759489057E-3</c:v>
                </c:pt>
                <c:pt idx="1">
                  <c:v>4.3593924714610457E-3</c:v>
                </c:pt>
                <c:pt idx="2">
                  <c:v>5.6250225438207058E-3</c:v>
                </c:pt>
                <c:pt idx="3">
                  <c:v>7.1428857699310814E-3</c:v>
                </c:pt>
                <c:pt idx="4">
                  <c:v>8.9286072124138399E-3</c:v>
                </c:pt>
                <c:pt idx="5">
                  <c:v>1.0989055030663183E-2</c:v>
                </c:pt>
                <c:pt idx="6">
                  <c:v>1.3320066703834165E-2</c:v>
                </c:pt>
                <c:pt idx="7">
                  <c:v>1.5904557258309478E-2</c:v>
                </c:pt>
                <c:pt idx="8">
                  <c:v>1.8711243833305236E-2</c:v>
                </c:pt>
                <c:pt idx="9">
                  <c:v>2.1694195748759724E-2</c:v>
                </c:pt>
                <c:pt idx="10">
                  <c:v>2.4793366570011102E-2</c:v>
                </c:pt>
                <c:pt idx="11">
                  <c:v>2.7936187684519543E-2</c:v>
                </c:pt>
                <c:pt idx="12">
                  <c:v>3.1040208538355055E-2</c:v>
                </c:pt>
                <c:pt idx="13">
                  <c:v>3.4016666891347989E-2</c:v>
                </c:pt>
                <c:pt idx="14">
                  <c:v>3.6774775017673539E-2</c:v>
                </c:pt>
                <c:pt idx="15">
                  <c:v>3.922642668551838E-2</c:v>
                </c:pt>
                <c:pt idx="16">
                  <c:v>4.1290975458440411E-2</c:v>
                </c:pt>
                <c:pt idx="17">
                  <c:v>4.2899714762016032E-2</c:v>
                </c:pt>
                <c:pt idx="18">
                  <c:v>4.3999707448221577E-2</c:v>
                </c:pt>
                <c:pt idx="19">
                  <c:v>4.4556665770350959E-2</c:v>
                </c:pt>
                <c:pt idx="20">
                  <c:v>4.4556665770350945E-2</c:v>
                </c:pt>
                <c:pt idx="21">
                  <c:v>4.4006583476889835E-2</c:v>
                </c:pt>
                <c:pt idx="22">
                  <c:v>4.2933252172575466E-2</c:v>
                </c:pt>
                <c:pt idx="23">
                  <c:v>4.1381447877181142E-2</c:v>
                </c:pt>
                <c:pt idx="24">
                  <c:v>3.9410902740172497E-2</c:v>
                </c:pt>
                <c:pt idx="25">
                  <c:v>3.7092614343691765E-2</c:v>
                </c:pt>
                <c:pt idx="26">
                  <c:v>3.4504757529015613E-2</c:v>
                </c:pt>
                <c:pt idx="27">
                  <c:v>3.1728512670359192E-2</c:v>
                </c:pt>
                <c:pt idx="28">
                  <c:v>2.8844102427599251E-2</c:v>
                </c:pt>
                <c:pt idx="29">
                  <c:v>2.5927283080988097E-2</c:v>
                </c:pt>
                <c:pt idx="30">
                  <c:v>2.3046473849767178E-2</c:v>
                </c:pt>
                <c:pt idx="31">
                  <c:v>2.0260636351443675E-2</c:v>
                </c:pt>
                <c:pt idx="32">
                  <c:v>1.7617944653429311E-2</c:v>
                </c:pt>
                <c:pt idx="33">
                  <c:v>1.5155221207251018E-2</c:v>
                </c:pt>
                <c:pt idx="34">
                  <c:v>1.2898060601915748E-2</c:v>
                </c:pt>
                <c:pt idx="35">
                  <c:v>1.0861524717402734E-2</c:v>
                </c:pt>
                <c:pt idx="36">
                  <c:v>9.0512705978356249E-3</c:v>
                </c:pt>
                <c:pt idx="37">
                  <c:v>7.4649654415139067E-3</c:v>
                </c:pt>
                <c:pt idx="38">
                  <c:v>6.0938493400113543E-3</c:v>
                </c:pt>
                <c:pt idx="39">
                  <c:v>4.9243226989990601E-3</c:v>
                </c:pt>
                <c:pt idx="40">
                  <c:v>3.9394581591992604E-3</c:v>
                </c:pt>
                <c:pt idx="41">
                  <c:v>3.1203628983756467E-3</c:v>
                </c:pt>
                <c:pt idx="42">
                  <c:v>2.4473434497063909E-3</c:v>
                </c:pt>
                <c:pt idx="43">
                  <c:v>1.9008492813253493E-3</c:v>
                </c:pt>
                <c:pt idx="44">
                  <c:v>1.4621917548656533E-3</c:v>
                </c:pt>
                <c:pt idx="45">
                  <c:v>1.1140508608500248E-3</c:v>
                </c:pt>
                <c:pt idx="46">
                  <c:v>8.4079310252832269E-4</c:v>
                </c:pt>
                <c:pt idx="47">
                  <c:v>6.2863035703051965E-4</c:v>
                </c:pt>
                <c:pt idx="48">
                  <c:v>4.6565211631890399E-4</c:v>
                </c:pt>
                <c:pt idx="49">
                  <c:v>3.4176302115148841E-4</c:v>
                </c:pt>
                <c:pt idx="50">
                  <c:v>2.4855492447381039E-4</c:v>
                </c:pt>
                <c:pt idx="51">
                  <c:v>1.7913868430544805E-4</c:v>
                </c:pt>
                <c:pt idx="52">
                  <c:v>1.2795620307532062E-4</c:v>
                </c:pt>
                <c:pt idx="53">
                  <c:v>9.0588462354209857E-5</c:v>
                </c:pt>
                <c:pt idx="54">
                  <c:v>6.3570850774883692E-5</c:v>
                </c:pt>
                <c:pt idx="55">
                  <c:v>4.4223200539049579E-5</c:v>
                </c:pt>
                <c:pt idx="56">
                  <c:v>3.0498758992447866E-5</c:v>
                </c:pt>
                <c:pt idx="57">
                  <c:v>2.085385230252838E-5</c:v>
                </c:pt>
                <c:pt idx="58">
                  <c:v>1.4138204950866785E-5</c:v>
                </c:pt>
                <c:pt idx="59">
                  <c:v>9.5046755972213612E-6</c:v>
                </c:pt>
                <c:pt idx="60">
                  <c:v>6.3364503981475837E-6</c:v>
                </c:pt>
                <c:pt idx="61">
                  <c:v>4.1893886929901291E-6</c:v>
                </c:pt>
                <c:pt idx="62">
                  <c:v>2.7471401265509356E-6</c:v>
                </c:pt>
                <c:pt idx="63">
                  <c:v>1.7867578058867585E-6</c:v>
                </c:pt>
                <c:pt idx="64">
                  <c:v>1.1527469715398408E-6</c:v>
                </c:pt>
                <c:pt idx="65">
                  <c:v>7.3775806178550423E-7</c:v>
                </c:pt>
                <c:pt idx="66">
                  <c:v>4.6841781700666899E-7</c:v>
                </c:pt>
                <c:pt idx="67">
                  <c:v>2.9506634142152671E-7</c:v>
                </c:pt>
                <c:pt idx="68">
                  <c:v>1.8441646338845081E-7</c:v>
                </c:pt>
                <c:pt idx="69">
                  <c:v>1.1436679900059044E-7</c:v>
                </c:pt>
                <c:pt idx="70">
                  <c:v>7.0379568615747895E-8</c:v>
                </c:pt>
                <c:pt idx="71">
                  <c:v>4.2979889230991396E-8</c:v>
                </c:pt>
                <c:pt idx="72">
                  <c:v>2.6048417715752565E-8</c:v>
                </c:pt>
                <c:pt idx="73">
                  <c:v>1.5668221182407413E-8</c:v>
                </c:pt>
                <c:pt idx="74">
                  <c:v>9.3541618999445864E-9</c:v>
                </c:pt>
                <c:pt idx="75">
                  <c:v>5.5432070518190713E-9</c:v>
                </c:pt>
                <c:pt idx="76">
                  <c:v>3.2607100304818215E-9</c:v>
                </c:pt>
                <c:pt idx="77">
                  <c:v>1.9040642513762551E-9</c:v>
                </c:pt>
                <c:pt idx="78">
                  <c:v>1.1038053631166523E-9</c:v>
                </c:pt>
                <c:pt idx="79">
                  <c:v>6.3528366222540957E-10</c:v>
                </c:pt>
                <c:pt idx="80">
                  <c:v>3.6301923555737948E-10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A-4681-9575-35A351D6782B}"/>
            </c:ext>
          </c:extLst>
        </c:ser>
        <c:ser>
          <c:idx val="1"/>
          <c:order val="2"/>
          <c:tx>
            <c:strRef>
              <c:f>'QA3-Normal_binomial_Poisson'!$D$4</c:f>
              <c:strCache>
                <c:ptCount val="1"/>
                <c:pt idx="0">
                  <c:v>binomial</c:v>
                </c:pt>
              </c:strCache>
            </c:strRef>
          </c:tx>
          <c:invertIfNegative val="0"/>
          <c:cat>
            <c:numRef>
              <c:f>'QA3-Normal_binomial_Poisson'!$B$13:$B$93</c:f>
              <c:numCache>
                <c:formatCode>_(* #,##0.0_);_(* \(#,##0.0\);_(* "-"??_);_(@_)</c:formatCode>
                <c:ptCount val="8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</c:numCache>
            </c:numRef>
          </c:cat>
          <c:val>
            <c:numRef>
              <c:f>'QA3-Normal_binomial_Poisson'!$D$13:$D$93</c:f>
              <c:numCache>
                <c:formatCode>0.000%</c:formatCode>
                <c:ptCount val="81"/>
                <c:pt idx="0">
                  <c:v>6.6846336508924624E-18</c:v>
                </c:pt>
                <c:pt idx="1">
                  <c:v>2.3012673224383695E-17</c:v>
                </c:pt>
                <c:pt idx="2">
                  <c:v>7.7389393020709775E-17</c:v>
                </c:pt>
                <c:pt idx="3">
                  <c:v>2.5427943421090802E-16</c:v>
                </c:pt>
                <c:pt idx="4">
                  <c:v>8.1647537078659101E-16</c:v>
                </c:pt>
                <c:pt idx="5">
                  <c:v>2.5624765483147987E-15</c:v>
                </c:pt>
                <c:pt idx="6">
                  <c:v>7.8621439550567211E-15</c:v>
                </c:pt>
                <c:pt idx="7">
                  <c:v>2.3586431865170361E-14</c:v>
                </c:pt>
                <c:pt idx="8">
                  <c:v>6.9198428780905076E-14</c:v>
                </c:pt>
                <c:pt idx="9">
                  <c:v>1.9856940432781483E-13</c:v>
                </c:pt>
                <c:pt idx="10">
                  <c:v>5.5741268500592452E-13</c:v>
                </c:pt>
                <c:pt idx="11">
                  <c:v>1.5309221630444526E-12</c:v>
                </c:pt>
                <c:pt idx="12">
                  <c:v>4.1143533131819559E-12</c:v>
                </c:pt>
                <c:pt idx="13">
                  <c:v>1.0821312823711754E-11</c:v>
                </c:pt>
                <c:pt idx="14">
                  <c:v>2.7857568823203282E-11</c:v>
                </c:pt>
                <c:pt idx="15">
                  <c:v>7.0201073434472784E-11</c:v>
                </c:pt>
                <c:pt idx="16">
                  <c:v>1.731934377495202E-10</c:v>
                </c:pt>
                <c:pt idx="17">
                  <c:v>4.1836336910922663E-10</c:v>
                </c:pt>
                <c:pt idx="18">
                  <c:v>9.8959027693145678E-10</c:v>
                </c:pt>
                <c:pt idx="19">
                  <c:v>2.2923420339045097E-9</c:v>
                </c:pt>
                <c:pt idx="20">
                  <c:v>5.20075098942088E-9</c:v>
                </c:pt>
                <c:pt idx="21">
                  <c:v>1.1557224420935186E-8</c:v>
                </c:pt>
                <c:pt idx="22">
                  <c:v>2.5158104379718765E-8</c:v>
                </c:pt>
                <c:pt idx="23">
                  <c:v>5.3650415363978207E-8</c:v>
                </c:pt>
                <c:pt idx="24">
                  <c:v>1.1209104638545488E-7</c:v>
                </c:pt>
                <c:pt idx="25">
                  <c:v>2.2945696554199036E-7</c:v>
                </c:pt>
                <c:pt idx="26">
                  <c:v>4.6024798320922471E-7</c:v>
                </c:pt>
                <c:pt idx="27">
                  <c:v>9.0462534630779454E-7</c:v>
                </c:pt>
                <c:pt idx="28">
                  <c:v>1.7424317749905655E-6</c:v>
                </c:pt>
                <c:pt idx="29">
                  <c:v>3.2890846988585871E-6</c:v>
                </c:pt>
                <c:pt idx="30">
                  <c:v>6.0848066928884028E-6</c:v>
                </c:pt>
                <c:pt idx="31">
                  <c:v>1.1032891256336049E-5</c:v>
                </c:pt>
                <c:pt idx="32">
                  <c:v>1.9607366526206051E-5</c:v>
                </c:pt>
                <c:pt idx="33">
                  <c:v>3.4154767497262052E-5</c:v>
                </c:pt>
                <c:pt idx="34">
                  <c:v>5.8317448758623297E-5</c:v>
                </c:pt>
                <c:pt idx="35">
                  <c:v>9.7604993185484792E-5</c:v>
                </c:pt>
                <c:pt idx="36">
                  <c:v>1.6013319194493601E-4</c:v>
                </c:pt>
                <c:pt idx="37">
                  <c:v>2.575337932310311E-4</c:v>
                </c:pt>
                <c:pt idx="38">
                  <c:v>4.0600990871627007E-4</c:v>
                </c:pt>
                <c:pt idx="39">
                  <c:v>6.2746985892513985E-4</c:v>
                </c:pt>
                <c:pt idx="40">
                  <c:v>9.5061683627158859E-4</c:v>
                </c:pt>
                <c:pt idx="41">
                  <c:v>1.4118071825815711E-3</c:v>
                </c:pt>
                <c:pt idx="42">
                  <c:v>2.0554251628761137E-3</c:v>
                </c:pt>
                <c:pt idx="43">
                  <c:v>2.9334708635222178E-3</c:v>
                </c:pt>
                <c:pt idx="44">
                  <c:v>4.1040385638700348E-3</c:v>
                </c:pt>
                <c:pt idx="45">
                  <c:v>5.6283957447360311E-3</c:v>
                </c:pt>
                <c:pt idx="46">
                  <c:v>7.5664754115555262E-3</c:v>
                </c:pt>
                <c:pt idx="47">
                  <c:v>9.9707760096198958E-3</c:v>
                </c:pt>
                <c:pt idx="48">
                  <c:v>1.2878919012425683E-2</c:v>
                </c:pt>
                <c:pt idx="49">
                  <c:v>1.6305420401052692E-2</c:v>
                </c:pt>
                <c:pt idx="50">
                  <c:v>2.023354440676086E-2</c:v>
                </c:pt>
                <c:pt idx="51">
                  <c:v>2.4608364819033463E-2</c:v>
                </c:pt>
                <c:pt idx="52">
                  <c:v>2.9332291994115803E-2</c:v>
                </c:pt>
                <c:pt idx="53">
                  <c:v>3.4264270294011384E-2</c:v>
                </c:pt>
                <c:pt idx="54">
                  <c:v>3.9223572573407757E-2</c:v>
                </c:pt>
                <c:pt idx="55">
                  <c:v>4.3998616191040014E-2</c:v>
                </c:pt>
                <c:pt idx="56">
                  <c:v>4.8360547968599968E-2</c:v>
                </c:pt>
                <c:pt idx="57">
                  <c:v>5.208059012003078E-2</c:v>
                </c:pt>
                <c:pt idx="58">
                  <c:v>5.4949436185964678E-2</c:v>
                </c:pt>
                <c:pt idx="59">
                  <c:v>5.6796476057761801E-2</c:v>
                </c:pt>
                <c:pt idx="60">
                  <c:v>5.7506432008483849E-2</c:v>
                </c:pt>
                <c:pt idx="61">
                  <c:v>5.7031172239818677E-2</c:v>
                </c:pt>
                <c:pt idx="62">
                  <c:v>5.539503205261076E-2</c:v>
                </c:pt>
                <c:pt idx="63">
                  <c:v>5.2692835367117559E-2</c:v>
                </c:pt>
                <c:pt idx="64">
                  <c:v>4.9080826491145743E-2</c:v>
                </c:pt>
                <c:pt idx="65">
                  <c:v>4.4761713759924951E-2</c:v>
                </c:pt>
                <c:pt idx="66">
                  <c:v>3.9965815857075884E-2</c:v>
                </c:pt>
                <c:pt idx="67">
                  <c:v>3.4930752442011166E-2</c:v>
                </c:pt>
                <c:pt idx="68">
                  <c:v>2.9882167128126792E-2</c:v>
                </c:pt>
                <c:pt idx="69">
                  <c:v>2.5017628293315403E-2</c:v>
                </c:pt>
                <c:pt idx="70">
                  <c:v>2.049521087106226E-2</c:v>
                </c:pt>
                <c:pt idx="71">
                  <c:v>1.6427459095126225E-2</c:v>
                </c:pt>
                <c:pt idx="72">
                  <c:v>1.288062133595126E-2</c:v>
                </c:pt>
                <c:pt idx="73">
                  <c:v>9.8783712501280298E-3</c:v>
                </c:pt>
                <c:pt idx="74">
                  <c:v>7.4087784375960215E-3</c:v>
                </c:pt>
                <c:pt idx="75">
                  <c:v>5.4331041875704091E-3</c:v>
                </c:pt>
                <c:pt idx="76">
                  <c:v>3.8950563109420196E-3</c:v>
                </c:pt>
                <c:pt idx="77">
                  <c:v>2.7293825244557265E-3</c:v>
                </c:pt>
                <c:pt idx="78">
                  <c:v>1.8690336852251149E-3</c:v>
                </c:pt>
                <c:pt idx="79">
                  <c:v>1.2505045519851505E-3</c:v>
                </c:pt>
                <c:pt idx="80">
                  <c:v>8.1729404647600955E-4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A-4681-9575-35A351D6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97952"/>
        <c:axId val="104992768"/>
      </c:barChart>
      <c:lineChart>
        <c:grouping val="standard"/>
        <c:varyColors val="0"/>
        <c:ser>
          <c:idx val="0"/>
          <c:order val="1"/>
          <c:tx>
            <c:strRef>
              <c:f>'QA3-Normal_binomial_Poisson'!$C$4</c:f>
              <c:strCache>
                <c:ptCount val="1"/>
                <c:pt idx="0">
                  <c:v>normal</c:v>
                </c:pt>
              </c:strCache>
            </c:strRef>
          </c:tx>
          <c:cat>
            <c:numRef>
              <c:f>'QA3-Normal_binomial_Poisson'!$B$13:$B$93</c:f>
              <c:numCache>
                <c:formatCode>_(* #,##0.0_);_(* \(#,##0.0\);_(* "-"??_);_(@_)</c:formatCode>
                <c:ptCount val="8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</c:numCache>
            </c:numRef>
          </c:cat>
          <c:val>
            <c:numRef>
              <c:f>'QA3-Normal_binomial_Poisson'!$C$13:$C$93</c:f>
              <c:numCache>
                <c:formatCode>0.000%</c:formatCode>
                <c:ptCount val="81"/>
                <c:pt idx="0">
                  <c:v>1.3383022576488536E-5</c:v>
                </c:pt>
                <c:pt idx="1">
                  <c:v>1.9865547139277272E-5</c:v>
                </c:pt>
                <c:pt idx="2">
                  <c:v>2.9194692579146026E-5</c:v>
                </c:pt>
                <c:pt idx="3">
                  <c:v>4.2478027055075142E-5</c:v>
                </c:pt>
                <c:pt idx="4">
                  <c:v>6.1190193011377187E-5</c:v>
                </c:pt>
                <c:pt idx="5">
                  <c:v>8.726826950457601E-5</c:v>
                </c:pt>
                <c:pt idx="6">
                  <c:v>1.2322191684730198E-4</c:v>
                </c:pt>
                <c:pt idx="7">
                  <c:v>1.722568939053681E-4</c:v>
                </c:pt>
                <c:pt idx="8">
                  <c:v>2.3840882014648405E-4</c:v>
                </c:pt>
                <c:pt idx="9">
                  <c:v>3.2668190561999186E-4</c:v>
                </c:pt>
                <c:pt idx="10">
                  <c:v>4.4318484119380076E-4</c:v>
                </c:pt>
                <c:pt idx="11">
                  <c:v>5.9525324197758534E-4</c:v>
                </c:pt>
                <c:pt idx="12">
                  <c:v>7.9154515829799694E-4</c:v>
                </c:pt>
                <c:pt idx="13">
                  <c:v>1.0420934814422591E-3</c:v>
                </c:pt>
                <c:pt idx="14">
                  <c:v>1.3582969233685612E-3</c:v>
                </c:pt>
                <c:pt idx="15">
                  <c:v>1.752830049356854E-3</c:v>
                </c:pt>
                <c:pt idx="16">
                  <c:v>2.2394530294842902E-3</c:v>
                </c:pt>
                <c:pt idx="17">
                  <c:v>2.8327037741601186E-3</c:v>
                </c:pt>
                <c:pt idx="18">
                  <c:v>3.5474592846231421E-3</c:v>
                </c:pt>
                <c:pt idx="19">
                  <c:v>4.3983595980427196E-3</c:v>
                </c:pt>
                <c:pt idx="20">
                  <c:v>5.3990966513188061E-3</c:v>
                </c:pt>
                <c:pt idx="21">
                  <c:v>6.5615814774676604E-3</c:v>
                </c:pt>
                <c:pt idx="22">
                  <c:v>7.8950158300894139E-3</c:v>
                </c:pt>
                <c:pt idx="23">
                  <c:v>9.4049077376886937E-3</c:v>
                </c:pt>
                <c:pt idx="24">
                  <c:v>1.1092083467945555E-2</c:v>
                </c:pt>
                <c:pt idx="25">
                  <c:v>1.2951759566589173E-2</c:v>
                </c:pt>
                <c:pt idx="26">
                  <c:v>1.4972746563574486E-2</c:v>
                </c:pt>
                <c:pt idx="27">
                  <c:v>1.7136859204780735E-2</c:v>
                </c:pt>
                <c:pt idx="28">
                  <c:v>1.9418605498321296E-2</c:v>
                </c:pt>
                <c:pt idx="29">
                  <c:v>2.1785217703255054E-2</c:v>
                </c:pt>
                <c:pt idx="30">
                  <c:v>2.4197072451914336E-2</c:v>
                </c:pt>
                <c:pt idx="31">
                  <c:v>2.6608524989875482E-2</c:v>
                </c:pt>
                <c:pt idx="32">
                  <c:v>2.8969155276148274E-2</c:v>
                </c:pt>
                <c:pt idx="33">
                  <c:v>3.1225393336676129E-2</c:v>
                </c:pt>
                <c:pt idx="34">
                  <c:v>3.3322460289179963E-2</c:v>
                </c:pt>
                <c:pt idx="35">
                  <c:v>3.5206532676429952E-2</c:v>
                </c:pt>
                <c:pt idx="36">
                  <c:v>3.6827014030332332E-2</c:v>
                </c:pt>
                <c:pt idx="37">
                  <c:v>3.8138781546052408E-2</c:v>
                </c:pt>
                <c:pt idx="38">
                  <c:v>3.9104269397545591E-2</c:v>
                </c:pt>
                <c:pt idx="39">
                  <c:v>3.9695254747701178E-2</c:v>
                </c:pt>
                <c:pt idx="40">
                  <c:v>3.9894228040143274E-2</c:v>
                </c:pt>
                <c:pt idx="41">
                  <c:v>3.9695254747701178E-2</c:v>
                </c:pt>
                <c:pt idx="42">
                  <c:v>3.9104269397545591E-2</c:v>
                </c:pt>
                <c:pt idx="43">
                  <c:v>3.8138781546052408E-2</c:v>
                </c:pt>
                <c:pt idx="44">
                  <c:v>3.6827014030332332E-2</c:v>
                </c:pt>
                <c:pt idx="45">
                  <c:v>3.5206532676429952E-2</c:v>
                </c:pt>
                <c:pt idx="46">
                  <c:v>3.3322460289179963E-2</c:v>
                </c:pt>
                <c:pt idx="47">
                  <c:v>3.1225393336676129E-2</c:v>
                </c:pt>
                <c:pt idx="48">
                  <c:v>2.8969155276148274E-2</c:v>
                </c:pt>
                <c:pt idx="49">
                  <c:v>2.6608524989875482E-2</c:v>
                </c:pt>
                <c:pt idx="50">
                  <c:v>2.4197072451914336E-2</c:v>
                </c:pt>
                <c:pt idx="51">
                  <c:v>2.1785217703255054E-2</c:v>
                </c:pt>
                <c:pt idx="52">
                  <c:v>1.9418605498321296E-2</c:v>
                </c:pt>
                <c:pt idx="53">
                  <c:v>1.7136859204780735E-2</c:v>
                </c:pt>
                <c:pt idx="54">
                  <c:v>1.4972746563574486E-2</c:v>
                </c:pt>
                <c:pt idx="55">
                  <c:v>1.2951759566589173E-2</c:v>
                </c:pt>
                <c:pt idx="56">
                  <c:v>1.1092083467945555E-2</c:v>
                </c:pt>
                <c:pt idx="57">
                  <c:v>9.4049077376886937E-3</c:v>
                </c:pt>
                <c:pt idx="58">
                  <c:v>7.8950158300894139E-3</c:v>
                </c:pt>
                <c:pt idx="59">
                  <c:v>6.5615814774676604E-3</c:v>
                </c:pt>
                <c:pt idx="60">
                  <c:v>5.3990966513188061E-3</c:v>
                </c:pt>
                <c:pt idx="61">
                  <c:v>4.3983595980427196E-3</c:v>
                </c:pt>
                <c:pt idx="62">
                  <c:v>3.5474592846231421E-3</c:v>
                </c:pt>
                <c:pt idx="63">
                  <c:v>2.8327037741601186E-3</c:v>
                </c:pt>
                <c:pt idx="64">
                  <c:v>2.2394530294842902E-3</c:v>
                </c:pt>
                <c:pt idx="65">
                  <c:v>1.752830049356854E-3</c:v>
                </c:pt>
                <c:pt idx="66">
                  <c:v>1.3582969233685612E-3</c:v>
                </c:pt>
                <c:pt idx="67">
                  <c:v>1.0420934814422591E-3</c:v>
                </c:pt>
                <c:pt idx="68">
                  <c:v>7.9154515829799694E-4</c:v>
                </c:pt>
                <c:pt idx="69">
                  <c:v>5.9525324197758534E-4</c:v>
                </c:pt>
                <c:pt idx="70">
                  <c:v>4.4318484119380076E-4</c:v>
                </c:pt>
                <c:pt idx="71">
                  <c:v>3.2668190561999186E-4</c:v>
                </c:pt>
                <c:pt idx="72">
                  <c:v>2.3840882014648405E-4</c:v>
                </c:pt>
                <c:pt idx="73">
                  <c:v>1.722568939053681E-4</c:v>
                </c:pt>
                <c:pt idx="74">
                  <c:v>1.2322191684730198E-4</c:v>
                </c:pt>
                <c:pt idx="75">
                  <c:v>8.726826950457601E-5</c:v>
                </c:pt>
                <c:pt idx="76">
                  <c:v>6.1190193011377187E-5</c:v>
                </c:pt>
                <c:pt idx="77">
                  <c:v>4.2478027055075142E-5</c:v>
                </c:pt>
                <c:pt idx="78">
                  <c:v>2.9194692579146026E-5</c:v>
                </c:pt>
                <c:pt idx="79">
                  <c:v>1.9865547139277272E-5</c:v>
                </c:pt>
                <c:pt idx="80">
                  <c:v>1.3383022576488536E-5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A-4681-9575-35A351D6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97952"/>
        <c:axId val="104992768"/>
      </c:lineChart>
      <c:catAx>
        <c:axId val="99997952"/>
        <c:scaling>
          <c:orientation val="minMax"/>
        </c:scaling>
        <c:delete val="0"/>
        <c:axPos val="b"/>
        <c:numFmt formatCode="_(* #,##0.0_);_(* \(#,##0.0\);_(* &quot;-&quot;??_);_(@_)" sourceLinked="1"/>
        <c:majorTickMark val="out"/>
        <c:minorTickMark val="none"/>
        <c:tickLblPos val="nextTo"/>
        <c:crossAx val="104992768"/>
        <c:crosses val="autoZero"/>
        <c:auto val="1"/>
        <c:lblAlgn val="ctr"/>
        <c:lblOffset val="100"/>
        <c:noMultiLvlLbl val="0"/>
      </c:catAx>
      <c:valAx>
        <c:axId val="104992768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9999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1025641025643"/>
          <c:y val="0.3234981044036162"/>
          <c:w val="0.18320512820512824"/>
          <c:h val="0.302077500729075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Binomial distribution</a:t>
            </a:r>
          </a:p>
          <a:p>
            <a:pPr>
              <a:defRPr sz="1200"/>
            </a:pPr>
            <a:r>
              <a:rPr lang="en-US" sz="1200"/>
              <a:t>Two params: all p = 0.10, various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'BT20.5.2'!$E$8</c:f>
              <c:strCache>
                <c:ptCount val="1"/>
                <c:pt idx="0">
                  <c:v>N = 79.9999999999999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'BT20.5.2'!$B$9:$B$29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'BT20.5.2'!$E$9:$E$29</c:f>
              <c:numCache>
                <c:formatCode>0.000%</c:formatCode>
                <c:ptCount val="21"/>
                <c:pt idx="0">
                  <c:v>1.7384604615803774E-2</c:v>
                </c:pt>
                <c:pt idx="1">
                  <c:v>7.228335603413151E-2</c:v>
                </c:pt>
                <c:pt idx="2">
                  <c:v>0.1483710992279543</c:v>
                </c:pt>
                <c:pt idx="3">
                  <c:v>0.20043113404478052</c:v>
                </c:pt>
                <c:pt idx="4">
                  <c:v>0.2004311340447808</c:v>
                </c:pt>
                <c:pt idx="5">
                  <c:v>0.15823510582482703</c:v>
                </c:pt>
                <c:pt idx="6">
                  <c:v>0.10271401606172993</c:v>
                </c:pt>
                <c:pt idx="7">
                  <c:v>5.6376865958693879E-2</c:v>
                </c:pt>
                <c:pt idx="8">
                  <c:v>2.6704831243591919E-2</c:v>
                </c:pt>
                <c:pt idx="9">
                  <c:v>1.108797086722238E-2</c:v>
                </c:pt>
                <c:pt idx="10">
                  <c:v>4.0850418984503594E-3</c:v>
                </c:pt>
                <c:pt idx="11">
                  <c:v>1.3486501961391115E-3</c:v>
                </c:pt>
                <c:pt idx="12">
                  <c:v>4.0222900586605204E-4</c:v>
                </c:pt>
                <c:pt idx="13">
                  <c:v>1.0910665341305855E-4</c:v>
                </c:pt>
                <c:pt idx="14">
                  <c:v>2.7071575658879294E-5</c:v>
                </c:pt>
                <c:pt idx="15">
                  <c:v>6.1742190099198472E-6</c:v>
                </c:pt>
                <c:pt idx="16">
                  <c:v>1.2998355810357601E-6</c:v>
                </c:pt>
                <c:pt idx="17">
                  <c:v>2.5352830218344574E-7</c:v>
                </c:pt>
                <c:pt idx="18">
                  <c:v>4.5961271156063287E-8</c:v>
                </c:pt>
                <c:pt idx="19">
                  <c:v>7.7663089765093154E-9</c:v>
                </c:pt>
                <c:pt idx="20">
                  <c:v>1.2262593120804218E-9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621-9CB6-4FC4ECFAB711}"/>
            </c:ext>
          </c:extLst>
        </c:ser>
        <c:ser>
          <c:idx val="2"/>
          <c:order val="1"/>
          <c:tx>
            <c:strRef>
              <c:f>'BT20.5.2'!$D$8</c:f>
              <c:strCache>
                <c:ptCount val="1"/>
                <c:pt idx="0">
                  <c:v>N = 50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'BT20.5.2'!$B$9:$B$29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'BT20.5.2'!$D$9:$D$29</c:f>
              <c:numCache>
                <c:formatCode>0.00</c:formatCode>
                <c:ptCount val="21"/>
                <c:pt idx="0">
                  <c:v>5.1537752073201135E-3</c:v>
                </c:pt>
                <c:pt idx="1">
                  <c:v>2.8632084485111769E-2</c:v>
                </c:pt>
                <c:pt idx="2">
                  <c:v>7.7942896653915308E-2</c:v>
                </c:pt>
                <c:pt idx="3">
                  <c:v>0.13856514960696051</c:v>
                </c:pt>
                <c:pt idx="4">
                  <c:v>0.18090450087575405</c:v>
                </c:pt>
                <c:pt idx="5">
                  <c:v>0.18492460089521523</c:v>
                </c:pt>
                <c:pt idx="6">
                  <c:v>0.15410383407934602</c:v>
                </c:pt>
                <c:pt idx="7">
                  <c:v>0.10762807459509882</c:v>
                </c:pt>
                <c:pt idx="8">
                  <c:v>6.427787788318394E-2</c:v>
                </c:pt>
                <c:pt idx="9">
                  <c:v>3.3329270013502811E-2</c:v>
                </c:pt>
                <c:pt idx="10">
                  <c:v>1.5183334117262394E-2</c:v>
                </c:pt>
                <c:pt idx="11">
                  <c:v>6.1346804514191451E-3</c:v>
                </c:pt>
                <c:pt idx="12">
                  <c:v>2.2153012741235817E-3</c:v>
                </c:pt>
                <c:pt idx="13">
                  <c:v>7.1949955911706056E-4</c:v>
                </c:pt>
                <c:pt idx="14">
                  <c:v>2.1128161656612144E-4</c:v>
                </c:pt>
                <c:pt idx="15">
                  <c:v>5.6341764417632174E-5</c:v>
                </c:pt>
                <c:pt idx="16">
                  <c:v>1.3694178851507846E-5</c:v>
                </c:pt>
                <c:pt idx="17">
                  <c:v>3.0431508558906323E-6</c:v>
                </c:pt>
                <c:pt idx="18">
                  <c:v>6.1990110027401786E-7</c:v>
                </c:pt>
                <c:pt idx="19">
                  <c:v>1.160048842618044E-7</c:v>
                </c:pt>
                <c:pt idx="20">
                  <c:v>1.9978618956199636E-8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621-9CB6-4FC4ECFAB711}"/>
            </c:ext>
          </c:extLst>
        </c:ser>
        <c:ser>
          <c:idx val="0"/>
          <c:order val="2"/>
          <c:tx>
            <c:strRef>
              <c:f>'BT20.5.2'!$C$8</c:f>
              <c:strCache>
                <c:ptCount val="1"/>
                <c:pt idx="0">
                  <c:v>N = 10</c:v>
                </c:pt>
              </c:strCache>
            </c:strRef>
          </c:tx>
          <c:spPr>
            <a:solidFill>
              <a:srgbClr val="4F81BD">
                <a:alpha val="69804"/>
              </a:srgbClr>
            </a:solidFill>
            <a:ln>
              <a:noFill/>
            </a:ln>
            <a:effectLst/>
          </c:spPr>
          <c:invertIfNegative val="0"/>
          <c:cat>
            <c:numRef>
              <c:f>'BT20.5.2'!$B$9:$B$29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'BT20.5.2'!$C$9:$C$29</c:f>
              <c:numCache>
                <c:formatCode>0.00</c:formatCode>
                <c:ptCount val="21"/>
                <c:pt idx="0">
                  <c:v>0.34867844009999993</c:v>
                </c:pt>
                <c:pt idx="1">
                  <c:v>0.38742048899999998</c:v>
                </c:pt>
                <c:pt idx="2">
                  <c:v>0.19371024450000005</c:v>
                </c:pt>
                <c:pt idx="3">
                  <c:v>5.739562799999999E-2</c:v>
                </c:pt>
                <c:pt idx="4">
                  <c:v>1.1160261000000003E-2</c:v>
                </c:pt>
                <c:pt idx="5">
                  <c:v>1.4880348000000001E-3</c:v>
                </c:pt>
                <c:pt idx="6">
                  <c:v>1.3778099999999988E-4</c:v>
                </c:pt>
                <c:pt idx="7">
                  <c:v>8.7480000000000084E-6</c:v>
                </c:pt>
                <c:pt idx="8">
                  <c:v>3.6450000000000065E-7</c:v>
                </c:pt>
                <c:pt idx="9">
                  <c:v>8.9999999999999962E-9</c:v>
                </c:pt>
                <c:pt idx="10">
                  <c:v>1.0000000000000031E-10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B-4621-9CB6-4FC4ECFA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5"/>
        <c:axId val="1045612680"/>
        <c:axId val="1045605792"/>
      </c:barChart>
      <c:catAx>
        <c:axId val="104561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5792"/>
        <c:crosses val="autoZero"/>
        <c:auto val="1"/>
        <c:lblAlgn val="ctr"/>
        <c:lblOffset val="100"/>
        <c:tickLblSkip val="5"/>
        <c:noMultiLvlLbl val="0"/>
      </c:catAx>
      <c:valAx>
        <c:axId val="104560579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1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87762467191612"/>
          <c:y val="0.29349372995042289"/>
          <c:w val="0.23305094675665544"/>
          <c:h val="0.27088254593175853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r>
              <a:rPr lang="en-US" sz="1200"/>
              <a:t>Normal Mixture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8571428571433"/>
          <c:y val="7.6923076923076927E-2"/>
          <c:w val="0.72140859441750105"/>
          <c:h val="0.78249336870026476"/>
        </c:manualLayout>
      </c:layout>
      <c:lineChart>
        <c:grouping val="standard"/>
        <c:varyColors val="0"/>
        <c:ser>
          <c:idx val="0"/>
          <c:order val="0"/>
          <c:tx>
            <c:strRef>
              <c:f>'20.7.3.'!$K$10</c:f>
              <c:strCache>
                <c:ptCount val="1"/>
                <c:pt idx="0">
                  <c:v>N(0, 3^2)</c:v>
                </c:pt>
              </c:strCache>
            </c:strRef>
          </c:tx>
          <c:spPr>
            <a:ln w="38100" cap="rnd" cmpd="sng" algn="ctr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'20.7.3.'!$J$11:$J$39</c:f>
              <c:numCache>
                <c:formatCode>#,##0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20</c:v>
                </c:pt>
              </c:numCache>
            </c:numRef>
          </c:cat>
          <c:val>
            <c:numRef>
              <c:f>'20.7.3.'!$K$11:$K$39</c:f>
              <c:numCache>
                <c:formatCode>_-* #,##0.0000_-;\-* #,##0.0000_-;_-* "-"??_-;_-@_-</c:formatCode>
                <c:ptCount val="29"/>
                <c:pt idx="0">
                  <c:v>9.8153286286453353E-3</c:v>
                </c:pt>
                <c:pt idx="1">
                  <c:v>1.5130140010235814E-2</c:v>
                </c:pt>
                <c:pt idx="2">
                  <c:v>2.2750131948179191E-2</c:v>
                </c:pt>
                <c:pt idx="3">
                  <c:v>3.337650758481725E-2</c:v>
                </c:pt>
                <c:pt idx="4">
                  <c:v>4.7790352272814703E-2</c:v>
                </c:pt>
                <c:pt idx="5">
                  <c:v>6.6807201268858057E-2</c:v>
                </c:pt>
                <c:pt idx="6">
                  <c:v>9.1211219725867876E-2</c:v>
                </c:pt>
                <c:pt idx="7">
                  <c:v>0.12167250457438125</c:v>
                </c:pt>
                <c:pt idx="8">
                  <c:v>0.15865525393145699</c:v>
                </c:pt>
                <c:pt idx="9">
                  <c:v>0.20232838096364303</c:v>
                </c:pt>
                <c:pt idx="10">
                  <c:v>0.25249253754692291</c:v>
                </c:pt>
                <c:pt idx="11">
                  <c:v>0.30853753872598688</c:v>
                </c:pt>
                <c:pt idx="12">
                  <c:v>0.36944134018176361</c:v>
                </c:pt>
                <c:pt idx="13">
                  <c:v>0.43381616738909634</c:v>
                </c:pt>
                <c:pt idx="14">
                  <c:v>0.5</c:v>
                </c:pt>
                <c:pt idx="15">
                  <c:v>0.56618383261090366</c:v>
                </c:pt>
                <c:pt idx="16">
                  <c:v>0.63055865981823644</c:v>
                </c:pt>
                <c:pt idx="17">
                  <c:v>0.69146246127401312</c:v>
                </c:pt>
                <c:pt idx="18">
                  <c:v>0.74750746245307709</c:v>
                </c:pt>
                <c:pt idx="19">
                  <c:v>0.79767161903635697</c:v>
                </c:pt>
                <c:pt idx="20">
                  <c:v>0.84134474606854304</c:v>
                </c:pt>
                <c:pt idx="21">
                  <c:v>0.87832749542561872</c:v>
                </c:pt>
                <c:pt idx="22">
                  <c:v>0.90878878027413212</c:v>
                </c:pt>
                <c:pt idx="23">
                  <c:v>0.93319279873114191</c:v>
                </c:pt>
                <c:pt idx="24">
                  <c:v>0.9522096477271853</c:v>
                </c:pt>
                <c:pt idx="25">
                  <c:v>0.96662349241518275</c:v>
                </c:pt>
                <c:pt idx="26">
                  <c:v>0.97724986805182079</c:v>
                </c:pt>
                <c:pt idx="27">
                  <c:v>0.98486985998976417</c:v>
                </c:pt>
                <c:pt idx="28">
                  <c:v>0.99999999998691602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C95-4875-884D-40A3765CFCFB}"/>
            </c:ext>
          </c:extLst>
        </c:ser>
        <c:ser>
          <c:idx val="1"/>
          <c:order val="1"/>
          <c:tx>
            <c:strRef>
              <c:f>'20.7.3.'!$L$10</c:f>
              <c:strCache>
                <c:ptCount val="1"/>
                <c:pt idx="0">
                  <c:v>N(4, 9^2)</c:v>
                </c:pt>
              </c:strCache>
            </c:strRef>
          </c:tx>
          <c:spPr>
            <a:ln w="38100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'20.7.3.'!$J$11:$J$39</c:f>
              <c:numCache>
                <c:formatCode>#,##0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20</c:v>
                </c:pt>
              </c:numCache>
            </c:numRef>
          </c:cat>
          <c:val>
            <c:numRef>
              <c:f>'20.7.3.'!$L$11:$L$39</c:f>
              <c:numCache>
                <c:formatCode>_-* #,##0.0000_-;\-* #,##0.0000_-;_-* "-"??_-;_-@_-</c:formatCode>
                <c:ptCount val="29"/>
                <c:pt idx="0">
                  <c:v>0.11081180122969675</c:v>
                </c:pt>
                <c:pt idx="1">
                  <c:v>0.12167250457438125</c:v>
                </c:pt>
                <c:pt idx="2">
                  <c:v>0.13326026290250542</c:v>
                </c:pt>
                <c:pt idx="3">
                  <c:v>0.14558565762265402</c:v>
                </c:pt>
                <c:pt idx="4">
                  <c:v>0.15865525393145699</c:v>
                </c:pt>
                <c:pt idx="5">
                  <c:v>0.17247128941430825</c:v>
                </c:pt>
                <c:pt idx="6">
                  <c:v>0.18703139874544125</c:v>
                </c:pt>
                <c:pt idx="7">
                  <c:v>0.20232838096364303</c:v>
                </c:pt>
                <c:pt idx="8">
                  <c:v>0.21835001536137882</c:v>
                </c:pt>
                <c:pt idx="9">
                  <c:v>0.23507893142883482</c:v>
                </c:pt>
                <c:pt idx="10">
                  <c:v>0.25249253754692291</c:v>
                </c:pt>
                <c:pt idx="11">
                  <c:v>0.27056301223583412</c:v>
                </c:pt>
                <c:pt idx="12">
                  <c:v>0.28925736075397196</c:v>
                </c:pt>
                <c:pt idx="13">
                  <c:v>0.30853753872598688</c:v>
                </c:pt>
                <c:pt idx="14">
                  <c:v>0.32836064328188519</c:v>
                </c:pt>
                <c:pt idx="15">
                  <c:v>0.3486791709387379</c:v>
                </c:pt>
                <c:pt idx="16">
                  <c:v>0.36944134018176361</c:v>
                </c:pt>
                <c:pt idx="17">
                  <c:v>0.39059147543357498</c:v>
                </c:pt>
                <c:pt idx="18">
                  <c:v>0.4120704478709426</c:v>
                </c:pt>
                <c:pt idx="19">
                  <c:v>0.43381616738909634</c:v>
                </c:pt>
                <c:pt idx="20">
                  <c:v>0.4557641189546886</c:v>
                </c:pt>
                <c:pt idx="21">
                  <c:v>0.47784793565821782</c:v>
                </c:pt>
                <c:pt idx="22">
                  <c:v>0.5</c:v>
                </c:pt>
                <c:pt idx="23">
                  <c:v>0.52215206434178218</c:v>
                </c:pt>
                <c:pt idx="24">
                  <c:v>0.5442358810453114</c:v>
                </c:pt>
                <c:pt idx="25">
                  <c:v>0.56618383261090366</c:v>
                </c:pt>
                <c:pt idx="26">
                  <c:v>0.5879295521290574</c:v>
                </c:pt>
                <c:pt idx="27">
                  <c:v>0.60940852456642502</c:v>
                </c:pt>
                <c:pt idx="28">
                  <c:v>0.96227982018659974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C95-4875-884D-40A3765CFCFB}"/>
            </c:ext>
          </c:extLst>
        </c:ser>
        <c:ser>
          <c:idx val="2"/>
          <c:order val="2"/>
          <c:tx>
            <c:strRef>
              <c:f>'20.7.3.'!$M$10</c:f>
              <c:strCache>
                <c:ptCount val="1"/>
                <c:pt idx="0">
                  <c:v>0.8N(0,3^2) + 0.2N(4,9^2)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'20.7.3.'!$J$11:$J$39</c:f>
              <c:numCache>
                <c:formatCode>#,##0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20</c:v>
                </c:pt>
              </c:numCache>
            </c:numRef>
          </c:cat>
          <c:val>
            <c:numRef>
              <c:f>'20.7.3.'!$M$11:$M$39</c:f>
              <c:numCache>
                <c:formatCode>_-* #,##0.0000_-;\-* #,##0.0000_-;_-* "-"??_-;_-@_-</c:formatCode>
                <c:ptCount val="29"/>
                <c:pt idx="0">
                  <c:v>3.0014623148855613E-2</c:v>
                </c:pt>
                <c:pt idx="1">
                  <c:v>3.6438612923064898E-2</c:v>
                </c:pt>
                <c:pt idx="2">
                  <c:v>4.4852158139044432E-2</c:v>
                </c:pt>
                <c:pt idx="3">
                  <c:v>5.5818337592384595E-2</c:v>
                </c:pt>
                <c:pt idx="4">
                  <c:v>6.9963332604543155E-2</c:v>
                </c:pt>
                <c:pt idx="5">
                  <c:v>8.7940018897948086E-2</c:v>
                </c:pt>
                <c:pt idx="6">
                  <c:v>0.11037525552978256</c:v>
                </c:pt>
                <c:pt idx="7">
                  <c:v>0.1378036798522336</c:v>
                </c:pt>
                <c:pt idx="8">
                  <c:v>0.17059420621744134</c:v>
                </c:pt>
                <c:pt idx="9">
                  <c:v>0.20887849105668138</c:v>
                </c:pt>
                <c:pt idx="10">
                  <c:v>0.25249253754692291</c:v>
                </c:pt>
                <c:pt idx="11">
                  <c:v>0.30094263342795635</c:v>
                </c:pt>
                <c:pt idx="12">
                  <c:v>0.35340454429620527</c:v>
                </c:pt>
                <c:pt idx="13">
                  <c:v>0.40876044165647446</c:v>
                </c:pt>
                <c:pt idx="14">
                  <c:v>0.46567212865637703</c:v>
                </c:pt>
                <c:pt idx="15">
                  <c:v>0.52268290027647046</c:v>
                </c:pt>
                <c:pt idx="16">
                  <c:v>0.57833519589094196</c:v>
                </c:pt>
                <c:pt idx="17">
                  <c:v>0.63128826410592553</c:v>
                </c:pt>
                <c:pt idx="18">
                  <c:v>0.68042005953665019</c:v>
                </c:pt>
                <c:pt idx="19">
                  <c:v>0.7249005287069048</c:v>
                </c:pt>
                <c:pt idx="20">
                  <c:v>0.76422862064577213</c:v>
                </c:pt>
                <c:pt idx="21">
                  <c:v>0.79823158347213852</c:v>
                </c:pt>
                <c:pt idx="22">
                  <c:v>0.82703102421930574</c:v>
                </c:pt>
                <c:pt idx="23">
                  <c:v>0.85098465185326999</c:v>
                </c:pt>
                <c:pt idx="24">
                  <c:v>0.87061489439081052</c:v>
                </c:pt>
                <c:pt idx="25">
                  <c:v>0.88653556045432702</c:v>
                </c:pt>
                <c:pt idx="26">
                  <c:v>0.89938580486726816</c:v>
                </c:pt>
                <c:pt idx="27">
                  <c:v>0.90977759290509641</c:v>
                </c:pt>
                <c:pt idx="28">
                  <c:v>0.99245596402685277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C95-4875-884D-40A3765C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85632"/>
        <c:axId val="95287168"/>
      </c:lineChart>
      <c:catAx>
        <c:axId val="952856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7168"/>
        <c:crosses val="autoZero"/>
        <c:auto val="1"/>
        <c:lblAlgn val="ctr"/>
        <c:lblOffset val="100"/>
        <c:tickLblSkip val="2"/>
        <c:noMultiLvlLbl val="0"/>
      </c:catAx>
      <c:valAx>
        <c:axId val="95287168"/>
        <c:scaling>
          <c:orientation val="minMax"/>
          <c:min val="0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5632"/>
        <c:crossesAt val="-7.5"/>
        <c:crossBetween val="between"/>
      </c:valAx>
      <c:spPr>
        <a:noFill/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55022330216535431"/>
          <c:y val="0.16676547784468115"/>
          <c:w val="0.44977669783464569"/>
          <c:h val="0.21675524934383203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r>
              <a:rPr lang="en-US" sz="1200"/>
              <a:t>Normal Mixture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8571428571433"/>
          <c:y val="7.6923076923076927E-2"/>
          <c:w val="0.70296458844283805"/>
          <c:h val="0.78249336870026476"/>
        </c:manualLayout>
      </c:layout>
      <c:lineChart>
        <c:grouping val="standard"/>
        <c:varyColors val="0"/>
        <c:ser>
          <c:idx val="0"/>
          <c:order val="0"/>
          <c:tx>
            <c:strRef>
              <c:f>'20.7.3.'!$R$10</c:f>
              <c:strCache>
                <c:ptCount val="1"/>
                <c:pt idx="0">
                  <c:v>N(2, 1)</c:v>
                </c:pt>
              </c:strCache>
            </c:strRef>
          </c:tx>
          <c:spPr>
            <a:ln w="38100" cap="rnd" cmpd="sng" algn="ctr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'20.7.3.'!$Q$13:$Q$37</c:f>
              <c:numCache>
                <c:formatCode>#,##0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cat>
          <c:val>
            <c:numRef>
              <c:f>'20.7.3.'!$R$13:$R$37</c:f>
              <c:numCache>
                <c:formatCode>_-* #,##0.0000_-;\-* #,##0.0000_-;_-* "-"??_-;_-@_-</c:formatCode>
                <c:ptCount val="25"/>
                <c:pt idx="0">
                  <c:v>5.0522710835368927E-15</c:v>
                </c:pt>
                <c:pt idx="1">
                  <c:v>2.4343205330290096E-13</c:v>
                </c:pt>
                <c:pt idx="2">
                  <c:v>9.1347204083645936E-12</c:v>
                </c:pt>
                <c:pt idx="3">
                  <c:v>2.6695566147628519E-10</c:v>
                </c:pt>
                <c:pt idx="4">
                  <c:v>6.0758828498232861E-9</c:v>
                </c:pt>
                <c:pt idx="5">
                  <c:v>1.0769760042543276E-7</c:v>
                </c:pt>
                <c:pt idx="6">
                  <c:v>1.4867195147342977E-6</c:v>
                </c:pt>
                <c:pt idx="7">
                  <c:v>1.5983741106905475E-5</c:v>
                </c:pt>
                <c:pt idx="8">
                  <c:v>1.3383022576488537E-4</c:v>
                </c:pt>
                <c:pt idx="9">
                  <c:v>8.7268269504576015E-4</c:v>
                </c:pt>
                <c:pt idx="10">
                  <c:v>4.4318484119380075E-3</c:v>
                </c:pt>
                <c:pt idx="11">
                  <c:v>1.752830049356854E-2</c:v>
                </c:pt>
                <c:pt idx="12">
                  <c:v>5.3990966513188063E-2</c:v>
                </c:pt>
                <c:pt idx="13">
                  <c:v>0.12951759566589174</c:v>
                </c:pt>
                <c:pt idx="14">
                  <c:v>0.24197072451914337</c:v>
                </c:pt>
                <c:pt idx="15">
                  <c:v>0.35206532676429952</c:v>
                </c:pt>
                <c:pt idx="16">
                  <c:v>0.3989422804014327</c:v>
                </c:pt>
                <c:pt idx="17">
                  <c:v>0.35206532676429952</c:v>
                </c:pt>
                <c:pt idx="18">
                  <c:v>0.24197072451914337</c:v>
                </c:pt>
                <c:pt idx="19">
                  <c:v>0.12951759566589174</c:v>
                </c:pt>
                <c:pt idx="20">
                  <c:v>5.3990966513188063E-2</c:v>
                </c:pt>
                <c:pt idx="21">
                  <c:v>1.752830049356854E-2</c:v>
                </c:pt>
                <c:pt idx="22">
                  <c:v>4.4318484119380075E-3</c:v>
                </c:pt>
                <c:pt idx="23">
                  <c:v>8.7268269504576015E-4</c:v>
                </c:pt>
                <c:pt idx="24">
                  <c:v>1.3383022576488537E-4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F3E-4360-AB6B-030CD1123285}"/>
            </c:ext>
          </c:extLst>
        </c:ser>
        <c:ser>
          <c:idx val="1"/>
          <c:order val="1"/>
          <c:tx>
            <c:strRef>
              <c:f>'20.7.3.'!$S$10</c:f>
              <c:strCache>
                <c:ptCount val="1"/>
                <c:pt idx="0">
                  <c:v>N(-2, 1)</c:v>
                </c:pt>
              </c:strCache>
            </c:strRef>
          </c:tx>
          <c:spPr>
            <a:ln w="38100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'20.7.3.'!$Q$13:$Q$37</c:f>
              <c:numCache>
                <c:formatCode>#,##0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cat>
          <c:val>
            <c:numRef>
              <c:f>'20.7.3.'!$S$13:$S$37</c:f>
              <c:numCache>
                <c:formatCode>_-* #,##0.0000_-;\-* #,##0.0000_-;_-* "-"??_-;_-@_-</c:formatCode>
                <c:ptCount val="25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5.3990966513188063E-2</c:v>
                </c:pt>
                <c:pt idx="5">
                  <c:v>0.12951759566589174</c:v>
                </c:pt>
                <c:pt idx="6">
                  <c:v>0.24197072451914337</c:v>
                </c:pt>
                <c:pt idx="7">
                  <c:v>0.35206532676429952</c:v>
                </c:pt>
                <c:pt idx="8">
                  <c:v>0.3989422804014327</c:v>
                </c:pt>
                <c:pt idx="9">
                  <c:v>0.35206532676429952</c:v>
                </c:pt>
                <c:pt idx="10">
                  <c:v>0.24197072451914337</c:v>
                </c:pt>
                <c:pt idx="11">
                  <c:v>0.12951759566589174</c:v>
                </c:pt>
                <c:pt idx="12">
                  <c:v>5.3990966513188063E-2</c:v>
                </c:pt>
                <c:pt idx="13">
                  <c:v>1.752830049356854E-2</c:v>
                </c:pt>
                <c:pt idx="14">
                  <c:v>4.4318484119380075E-3</c:v>
                </c:pt>
                <c:pt idx="15">
                  <c:v>8.7268269504576015E-4</c:v>
                </c:pt>
                <c:pt idx="16">
                  <c:v>1.3383022576488537E-4</c:v>
                </c:pt>
                <c:pt idx="17">
                  <c:v>1.5983741106905475E-5</c:v>
                </c:pt>
                <c:pt idx="18">
                  <c:v>1.4867195147342977E-6</c:v>
                </c:pt>
                <c:pt idx="19">
                  <c:v>1.0769760042543276E-7</c:v>
                </c:pt>
                <c:pt idx="20">
                  <c:v>6.0758828498232861E-9</c:v>
                </c:pt>
                <c:pt idx="21">
                  <c:v>2.6695566147628519E-10</c:v>
                </c:pt>
                <c:pt idx="22">
                  <c:v>9.1347204083645936E-12</c:v>
                </c:pt>
                <c:pt idx="23">
                  <c:v>2.4343205330290096E-13</c:v>
                </c:pt>
                <c:pt idx="24">
                  <c:v>5.0522710835368927E-15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F3E-4360-AB6B-030CD1123285}"/>
            </c:ext>
          </c:extLst>
        </c:ser>
        <c:ser>
          <c:idx val="2"/>
          <c:order val="2"/>
          <c:tx>
            <c:strRef>
              <c:f>'20.7.3.'!$T$10</c:f>
              <c:strCache>
                <c:ptCount val="1"/>
                <c:pt idx="0">
                  <c:v>0.5N(2,1) + 0.5N(-2,1)</c:v>
                </c:pt>
              </c:strCache>
            </c:strRef>
          </c:tx>
          <c:spPr>
            <a:ln w="38100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'20.7.3.'!$Q$13:$Q$37</c:f>
              <c:numCache>
                <c:formatCode>#,##0</c:formatCode>
                <c:ptCount val="25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</c:numCache>
            </c:numRef>
          </c:cat>
          <c:val>
            <c:numRef>
              <c:f>'20.7.3.'!$T$13:$T$37</c:f>
              <c:numCache>
                <c:formatCode>_-* #,##0.0000_-;\-* #,##0.0000_-;_-* "-"??_-;_-@_-</c:formatCode>
                <c:ptCount val="25"/>
                <c:pt idx="0">
                  <c:v>6.6915112884968821E-5</c:v>
                </c:pt>
                <c:pt idx="1">
                  <c:v>4.3634134764459608E-4</c:v>
                </c:pt>
                <c:pt idx="2">
                  <c:v>2.2159242105363641E-3</c:v>
                </c:pt>
                <c:pt idx="3">
                  <c:v>8.7641503802621014E-3</c:v>
                </c:pt>
                <c:pt idx="4">
                  <c:v>2.6995486294535458E-2</c:v>
                </c:pt>
                <c:pt idx="5">
                  <c:v>6.4758851681746082E-2</c:v>
                </c:pt>
                <c:pt idx="6">
                  <c:v>0.12098610561932904</c:v>
                </c:pt>
                <c:pt idx="7">
                  <c:v>0.17604065525270321</c:v>
                </c:pt>
                <c:pt idx="8">
                  <c:v>0.19953805531359881</c:v>
                </c:pt>
                <c:pt idx="9">
                  <c:v>0.17646900472967264</c:v>
                </c:pt>
                <c:pt idx="10">
                  <c:v>0.12320128646554068</c:v>
                </c:pt>
                <c:pt idx="11">
                  <c:v>7.3522948079730144E-2</c:v>
                </c:pt>
                <c:pt idx="12">
                  <c:v>5.3990966513188063E-2</c:v>
                </c:pt>
                <c:pt idx="13">
                  <c:v>7.3522948079730144E-2</c:v>
                </c:pt>
                <c:pt idx="14">
                  <c:v>0.12320128646554068</c:v>
                </c:pt>
                <c:pt idx="15">
                  <c:v>0.17646900472967264</c:v>
                </c:pt>
                <c:pt idx="16">
                  <c:v>0.19953805531359881</c:v>
                </c:pt>
                <c:pt idx="17">
                  <c:v>0.17604065525270321</c:v>
                </c:pt>
                <c:pt idx="18">
                  <c:v>0.12098610561932904</c:v>
                </c:pt>
                <c:pt idx="19">
                  <c:v>6.4758851681746082E-2</c:v>
                </c:pt>
                <c:pt idx="20">
                  <c:v>2.6995486294535458E-2</c:v>
                </c:pt>
                <c:pt idx="21">
                  <c:v>8.7641503802621014E-3</c:v>
                </c:pt>
                <c:pt idx="22">
                  <c:v>2.2159242105363641E-3</c:v>
                </c:pt>
                <c:pt idx="23">
                  <c:v>4.3634134764459608E-4</c:v>
                </c:pt>
                <c:pt idx="24">
                  <c:v>6.6915112884968821E-5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F3E-4360-AB6B-030CD1123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85632"/>
        <c:axId val="95287168"/>
      </c:lineChart>
      <c:catAx>
        <c:axId val="952856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7168"/>
        <c:crosses val="autoZero"/>
        <c:auto val="1"/>
        <c:lblAlgn val="ctr"/>
        <c:lblOffset val="100"/>
        <c:tickLblSkip val="2"/>
        <c:noMultiLvlLbl val="0"/>
      </c:catAx>
      <c:valAx>
        <c:axId val="95287168"/>
        <c:scaling>
          <c:orientation val="minMax"/>
          <c:min val="0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+mn-lt"/>
                <a:ea typeface="Garamond"/>
                <a:cs typeface="Garamond"/>
              </a:defRPr>
            </a:pPr>
            <a:endParaRPr lang="en-US"/>
          </a:p>
        </c:txPr>
        <c:crossAx val="95285632"/>
        <c:crossesAt val="-7.5"/>
        <c:crossBetween val="between"/>
      </c:valAx>
      <c:spPr>
        <a:noFill/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65639024630117948"/>
          <c:y val="0.14009868766404199"/>
          <c:w val="0.34360975369882041"/>
          <c:h val="0.52786631671041118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+mn-lt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US"/>
              <a:t>Discrete Density</a:t>
            </a:r>
          </a:p>
        </c:rich>
      </c:tx>
      <c:layout>
        <c:manualLayout>
          <c:xMode val="edge"/>
          <c:yMode val="edge"/>
          <c:x val="0.40491837700615291"/>
          <c:y val="2.9940119760479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2375273623209876"/>
          <c:w val="0.8573777354778237"/>
          <c:h val="0.8203608805063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pdf_CDF_source!$Q$7:$Q$17</c:f>
              <c:numCache>
                <c:formatCode>General</c:formatCode>
                <c:ptCount val="11"/>
                <c:pt idx="0">
                  <c:v>8.0854237276580096E-4</c:v>
                </c:pt>
                <c:pt idx="1">
                  <c:v>5.02747501014633E-3</c:v>
                </c:pt>
                <c:pt idx="2">
                  <c:v>2.4082225974528092E-2</c:v>
                </c:pt>
                <c:pt idx="3">
                  <c:v>8.342771141175806E-2</c:v>
                </c:pt>
                <c:pt idx="4">
                  <c:v>0.18603420705610416</c:v>
                </c:pt>
                <c:pt idx="5">
                  <c:v>0.20050353427157891</c:v>
                </c:pt>
                <c:pt idx="6">
                  <c:v>0.20050353427157891</c:v>
                </c:pt>
                <c:pt idx="7">
                  <c:v>0.18603420705610416</c:v>
                </c:pt>
                <c:pt idx="8">
                  <c:v>8.342771141175806E-2</c:v>
                </c:pt>
                <c:pt idx="9">
                  <c:v>2.4082225974528092E-2</c:v>
                </c:pt>
                <c:pt idx="10">
                  <c:v>5.02747501014633E-3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C-4CBE-A362-0FA49660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21472"/>
        <c:axId val="1"/>
      </c:barChart>
      <c:catAx>
        <c:axId val="1040121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40121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US"/>
              <a:t>Discrete Distribution</a:t>
            </a:r>
          </a:p>
        </c:rich>
      </c:tx>
      <c:layout>
        <c:manualLayout>
          <c:xMode val="edge"/>
          <c:yMode val="edge"/>
          <c:x val="0.381342062193126"/>
          <c:y val="2.92968642077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26350245499364E-2"/>
          <c:y val="0.12109375000000011"/>
          <c:w val="0.85597381342062273"/>
          <c:h val="0.8242187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pdf_CDF_source!$R$7:$R$17</c:f>
              <c:numCache>
                <c:formatCode>General</c:formatCode>
                <c:ptCount val="11"/>
                <c:pt idx="0">
                  <c:v>9.2484599075630738E-4</c:v>
                </c:pt>
                <c:pt idx="1">
                  <c:v>5.9523210009026373E-3</c:v>
                </c:pt>
                <c:pt idx="2">
                  <c:v>3.0034546975430731E-2</c:v>
                </c:pt>
                <c:pt idx="3">
                  <c:v>0.11346225838718879</c:v>
                </c:pt>
                <c:pt idx="4">
                  <c:v>0.29949646544329295</c:v>
                </c:pt>
                <c:pt idx="5">
                  <c:v>0.49999999971487186</c:v>
                </c:pt>
                <c:pt idx="6">
                  <c:v>0.70050353398645071</c:v>
                </c:pt>
                <c:pt idx="7">
                  <c:v>0.88653774104255489</c:v>
                </c:pt>
                <c:pt idx="8">
                  <c:v>0.96996545245431298</c:v>
                </c:pt>
                <c:pt idx="9">
                  <c:v>0.99404767842884112</c:v>
                </c:pt>
                <c:pt idx="10">
                  <c:v>0.99907515343898745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4-4457-88E0-F7F688E52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123768"/>
        <c:axId val="1"/>
      </c:barChart>
      <c:catAx>
        <c:axId val="104012376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40123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US"/>
              <a:t>Density</a:t>
            </a:r>
          </a:p>
        </c:rich>
      </c:tx>
      <c:layout>
        <c:manualLayout>
          <c:xMode val="edge"/>
          <c:yMode val="edge"/>
          <c:x val="0.45409870487500537"/>
          <c:y val="3.2098765432098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697748061077E-2"/>
          <c:y val="0.14321022186106758"/>
          <c:w val="0.86885315449951595"/>
          <c:h val="0.720989392817787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pdf_CDF_source!$B$1</c:f>
              <c:strCache>
                <c:ptCount val="1"/>
                <c:pt idx="0">
                  <c:v>Continuous Density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pdf_CDF_source!$B$2:$B$32</c:f>
              <c:numCache>
                <c:formatCode>General</c:formatCode>
                <c:ptCount val="31"/>
                <c:pt idx="0">
                  <c:v>0</c:v>
                </c:pt>
                <c:pt idx="1">
                  <c:v>2.4535489222344204E-8</c:v>
                </c:pt>
                <c:pt idx="2">
                  <c:v>6.4496333775826938E-6</c:v>
                </c:pt>
                <c:pt idx="3">
                  <c:v>1.2729950216259868E-4</c:v>
                </c:pt>
                <c:pt idx="4">
                  <c:v>8.704537089159511E-4</c:v>
                </c:pt>
                <c:pt idx="5">
                  <c:v>3.329707946500639E-3</c:v>
                </c:pt>
                <c:pt idx="6">
                  <c:v>8.8207944607001949E-3</c:v>
                </c:pt>
                <c:pt idx="7">
                  <c:v>1.8134231453449817E-2</c:v>
                </c:pt>
                <c:pt idx="8">
                  <c:v>3.096684944648613E-2</c:v>
                </c:pt>
                <c:pt idx="9">
                  <c:v>4.5892326013708594E-2</c:v>
                </c:pt>
                <c:pt idx="10">
                  <c:v>6.0817397315459876E-2</c:v>
                </c:pt>
                <c:pt idx="11">
                  <c:v>7.3626192565267423E-2</c:v>
                </c:pt>
                <c:pt idx="12">
                  <c:v>8.2717944859613007E-2</c:v>
                </c:pt>
                <c:pt idx="13">
                  <c:v>8.7282873896791971E-2</c:v>
                </c:pt>
                <c:pt idx="14">
                  <c:v>8.7309506455453295E-2</c:v>
                </c:pt>
                <c:pt idx="15">
                  <c:v>8.3406690480755524E-2</c:v>
                </c:pt>
                <c:pt idx="16">
                  <c:v>7.6547277104200603E-2</c:v>
                </c:pt>
                <c:pt idx="17">
                  <c:v>6.7820430271393631E-2</c:v>
                </c:pt>
                <c:pt idx="18">
                  <c:v>5.8242919935366289E-2</c:v>
                </c:pt>
                <c:pt idx="19">
                  <c:v>4.8645575727826372E-2</c:v>
                </c:pt>
                <c:pt idx="20">
                  <c:v>3.962791707298155E-2</c:v>
                </c:pt>
                <c:pt idx="21">
                  <c:v>3.1562782494926535E-2</c:v>
                </c:pt>
                <c:pt idx="22">
                  <c:v>2.4630663029922364E-2</c:v>
                </c:pt>
                <c:pt idx="23">
                  <c:v>1.8866565377597469E-2</c:v>
                </c:pt>
                <c:pt idx="24">
                  <c:v>1.4207374928538042E-2</c:v>
                </c:pt>
                <c:pt idx="25">
                  <c:v>1.0532781854473146E-2</c:v>
                </c:pt>
                <c:pt idx="26">
                  <c:v>7.6968582543295444E-3</c:v>
                </c:pt>
                <c:pt idx="27">
                  <c:v>5.5500587420638766E-3</c:v>
                </c:pt>
                <c:pt idx="28">
                  <c:v>3.9529045694650074E-3</c:v>
                </c:pt>
                <c:pt idx="29">
                  <c:v>2.7832125508919715E-3</c:v>
                </c:pt>
                <c:pt idx="30">
                  <c:v>1.9387688394483784E-3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25-432B-98E0-996A1B8C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16880"/>
        <c:axId val="1"/>
      </c:scatterChart>
      <c:valAx>
        <c:axId val="1040116880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40116880"/>
        <c:crossesAt val="0"/>
        <c:crossBetween val="midCat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US"/>
              <a:t>Distribution</a:t>
            </a:r>
          </a:p>
        </c:rich>
      </c:tx>
      <c:layout>
        <c:manualLayout>
          <c:xMode val="edge"/>
          <c:yMode val="edge"/>
          <c:x val="0.43044189852700493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3011456628475E-2"/>
          <c:y val="0.16009871471231671"/>
          <c:w val="0.86415711947626839"/>
          <c:h val="0.7093604590330336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pdf_CDF_source!$C$1</c:f>
              <c:strCache>
                <c:ptCount val="1"/>
                <c:pt idx="0">
                  <c:v>Continuous Distribution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pdf_CDF_source!$A$2:$A$32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pdf_CDF_source!$C$2:$C$32</c:f>
              <c:numCache>
                <c:formatCode>General</c:formatCode>
                <c:ptCount val="31"/>
                <c:pt idx="0">
                  <c:v>0</c:v>
                </c:pt>
                <c:pt idx="1">
                  <c:v>2.6109547200660668E-9</c:v>
                </c:pt>
                <c:pt idx="2">
                  <c:v>1.4656221392412879E-6</c:v>
                </c:pt>
                <c:pt idx="3">
                  <c:v>4.6498075017263846E-5</c:v>
                </c:pt>
                <c:pt idx="4">
                  <c:v>4.5608289115746479E-4</c:v>
                </c:pt>
                <c:pt idx="5">
                  <c:v>2.3563754242865611E-3</c:v>
                </c:pt>
                <c:pt idx="6">
                  <c:v>8.1322427969338622E-3</c:v>
                </c:pt>
                <c:pt idx="7">
                  <c:v>2.1285044984054955E-2</c:v>
                </c:pt>
                <c:pt idx="8">
                  <c:v>4.5586938894922227E-2</c:v>
                </c:pt>
                <c:pt idx="9">
                  <c:v>8.3924016994875839E-2</c:v>
                </c:pt>
                <c:pt idx="10">
                  <c:v>0.13737153273576747</c:v>
                </c:pt>
                <c:pt idx="11">
                  <c:v>0.20484728416449902</c:v>
                </c:pt>
                <c:pt idx="12">
                  <c:v>0.28337574127298903</c:v>
                </c:pt>
                <c:pt idx="13">
                  <c:v>0.36876511376337268</c:v>
                </c:pt>
                <c:pt idx="14">
                  <c:v>0.45642173259342217</c:v>
                </c:pt>
                <c:pt idx="15">
                  <c:v>0.54207028552814773</c:v>
                </c:pt>
                <c:pt idx="16">
                  <c:v>0.62224837395442667</c:v>
                </c:pt>
                <c:pt idx="17">
                  <c:v>0.69454327041788666</c:v>
                </c:pt>
                <c:pt idx="18">
                  <c:v>0.75760783832948764</c:v>
                </c:pt>
                <c:pt idx="19">
                  <c:v>0.81102513553299405</c:v>
                </c:pt>
                <c:pt idx="20">
                  <c:v>0.85509477552184698</c:v>
                </c:pt>
                <c:pt idx="21">
                  <c:v>0.890600630357261</c:v>
                </c:pt>
                <c:pt idx="22">
                  <c:v>0.91859962830350472</c:v>
                </c:pt>
                <c:pt idx="23">
                  <c:v>0.94025237792000804</c:v>
                </c:pt>
                <c:pt idx="24">
                  <c:v>0.95670168405813416</c:v>
                </c:pt>
                <c:pt idx="25">
                  <c:v>0.96899559859005846</c:v>
                </c:pt>
                <c:pt idx="26">
                  <c:v>0.97804683334194964</c:v>
                </c:pt>
                <c:pt idx="27">
                  <c:v>0.98461890273941077</c:v>
                </c:pt>
                <c:pt idx="28">
                  <c:v>0.98932996779992688</c:v>
                </c:pt>
                <c:pt idx="29">
                  <c:v>0.99266697360646439</c:v>
                </c:pt>
                <c:pt idx="30">
                  <c:v>0.99500458769169242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4E-40CA-B337-B6B43EB6D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119176"/>
        <c:axId val="1"/>
      </c:scatterChart>
      <c:valAx>
        <c:axId val="1040119176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040119176"/>
        <c:crossesAt val="0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 normal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'8.2. Standard Normal pdf CDF'!$C$2</c:f>
              <c:strCache>
                <c:ptCount val="1"/>
                <c:pt idx="0">
                  <c:v>normal</c:v>
                </c:pt>
              </c:strCache>
            </c:strRef>
          </c:tx>
          <c:cat>
            <c:numRef>
              <c:f>'8.2. Standard Normal pdf CDF'!$B$8:$B$90</c:f>
              <c:numCache>
                <c:formatCode>_(* #,##0.0_);_(* \(#,##0.0\);_(* "-"??_);_(@_)</c:formatCode>
                <c:ptCount val="83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-2.3263478740408408</c:v>
                </c:pt>
                <c:pt idx="18">
                  <c:v>-2.2999999999999985</c:v>
                </c:pt>
                <c:pt idx="19">
                  <c:v>-2.1999999999999984</c:v>
                </c:pt>
                <c:pt idx="20">
                  <c:v>-2.0999999999999983</c:v>
                </c:pt>
                <c:pt idx="21">
                  <c:v>-1.9999999999999982</c:v>
                </c:pt>
                <c:pt idx="22">
                  <c:v>-1.8999999999999981</c:v>
                </c:pt>
                <c:pt idx="23">
                  <c:v>-1.799999999999998</c:v>
                </c:pt>
                <c:pt idx="24">
                  <c:v>-1.699999999999998</c:v>
                </c:pt>
                <c:pt idx="25">
                  <c:v>-1.6448536269514726</c:v>
                </c:pt>
                <c:pt idx="26">
                  <c:v>-1.5999999999999979</c:v>
                </c:pt>
                <c:pt idx="27">
                  <c:v>-1.4999999999999978</c:v>
                </c:pt>
                <c:pt idx="28">
                  <c:v>-1.3999999999999977</c:v>
                </c:pt>
                <c:pt idx="29">
                  <c:v>-1.2999999999999976</c:v>
                </c:pt>
                <c:pt idx="30">
                  <c:v>-1.1999999999999975</c:v>
                </c:pt>
                <c:pt idx="31">
                  <c:v>-1.0999999999999974</c:v>
                </c:pt>
                <c:pt idx="32">
                  <c:v>-0.99999999999999745</c:v>
                </c:pt>
                <c:pt idx="33">
                  <c:v>-0.89999999999999747</c:v>
                </c:pt>
                <c:pt idx="34">
                  <c:v>-0.79999999999999749</c:v>
                </c:pt>
                <c:pt idx="35">
                  <c:v>-0.69999999999999751</c:v>
                </c:pt>
                <c:pt idx="36">
                  <c:v>-0.59999999999999754</c:v>
                </c:pt>
                <c:pt idx="37">
                  <c:v>-0.49999999999999756</c:v>
                </c:pt>
                <c:pt idx="38">
                  <c:v>-0.39999999999999758</c:v>
                </c:pt>
                <c:pt idx="39">
                  <c:v>-0.2999999999999976</c:v>
                </c:pt>
                <c:pt idx="40">
                  <c:v>-0.1999999999999976</c:v>
                </c:pt>
                <c:pt idx="41">
                  <c:v>-9.9999999999997591E-2</c:v>
                </c:pt>
                <c:pt idx="42">
                  <c:v>2.4147350785597155E-15</c:v>
                </c:pt>
                <c:pt idx="43">
                  <c:v>0.10000000000000242</c:v>
                </c:pt>
                <c:pt idx="44">
                  <c:v>0.20000000000000243</c:v>
                </c:pt>
                <c:pt idx="45">
                  <c:v>0.30000000000000243</c:v>
                </c:pt>
                <c:pt idx="46">
                  <c:v>0.40000000000000246</c:v>
                </c:pt>
                <c:pt idx="47">
                  <c:v>0.50000000000000244</c:v>
                </c:pt>
                <c:pt idx="48">
                  <c:v>0.60000000000000242</c:v>
                </c:pt>
                <c:pt idx="49">
                  <c:v>0.7000000000000024</c:v>
                </c:pt>
                <c:pt idx="50">
                  <c:v>0.80000000000000238</c:v>
                </c:pt>
                <c:pt idx="51">
                  <c:v>0.90000000000000235</c:v>
                </c:pt>
                <c:pt idx="52">
                  <c:v>1.0000000000000024</c:v>
                </c:pt>
                <c:pt idx="53">
                  <c:v>1.1000000000000025</c:v>
                </c:pt>
                <c:pt idx="54">
                  <c:v>1.2000000000000026</c:v>
                </c:pt>
                <c:pt idx="55">
                  <c:v>1.3000000000000027</c:v>
                </c:pt>
                <c:pt idx="56">
                  <c:v>1.4000000000000028</c:v>
                </c:pt>
                <c:pt idx="57">
                  <c:v>1.5000000000000029</c:v>
                </c:pt>
                <c:pt idx="58">
                  <c:v>1.600000000000003</c:v>
                </c:pt>
                <c:pt idx="59">
                  <c:v>1.7000000000000031</c:v>
                </c:pt>
                <c:pt idx="60">
                  <c:v>1.8000000000000032</c:v>
                </c:pt>
                <c:pt idx="61">
                  <c:v>1.9000000000000032</c:v>
                </c:pt>
                <c:pt idx="62">
                  <c:v>2.0000000000000031</c:v>
                </c:pt>
                <c:pt idx="63">
                  <c:v>2.1000000000000032</c:v>
                </c:pt>
                <c:pt idx="64">
                  <c:v>2.2000000000000033</c:v>
                </c:pt>
                <c:pt idx="65">
                  <c:v>2.3000000000000034</c:v>
                </c:pt>
                <c:pt idx="66">
                  <c:v>2.4000000000000035</c:v>
                </c:pt>
                <c:pt idx="67">
                  <c:v>2.5000000000000036</c:v>
                </c:pt>
                <c:pt idx="68">
                  <c:v>2.6000000000000036</c:v>
                </c:pt>
                <c:pt idx="69">
                  <c:v>2.7000000000000037</c:v>
                </c:pt>
                <c:pt idx="70">
                  <c:v>2.8000000000000038</c:v>
                </c:pt>
                <c:pt idx="71">
                  <c:v>2.9000000000000039</c:v>
                </c:pt>
                <c:pt idx="72">
                  <c:v>3.000000000000004</c:v>
                </c:pt>
                <c:pt idx="73">
                  <c:v>3.1000000000000041</c:v>
                </c:pt>
                <c:pt idx="74">
                  <c:v>3.2000000000000042</c:v>
                </c:pt>
                <c:pt idx="75">
                  <c:v>3.3000000000000043</c:v>
                </c:pt>
                <c:pt idx="76">
                  <c:v>3.4000000000000044</c:v>
                </c:pt>
                <c:pt idx="77">
                  <c:v>3.5000000000000044</c:v>
                </c:pt>
                <c:pt idx="78">
                  <c:v>3.6000000000000045</c:v>
                </c:pt>
                <c:pt idx="79">
                  <c:v>3.7000000000000046</c:v>
                </c:pt>
                <c:pt idx="80">
                  <c:v>3.8000000000000047</c:v>
                </c:pt>
                <c:pt idx="81">
                  <c:v>3.9000000000000048</c:v>
                </c:pt>
                <c:pt idx="82">
                  <c:v>4.0000000000000044</c:v>
                </c:pt>
              </c:numCache>
            </c:numRef>
          </c:cat>
          <c:val>
            <c:numRef>
              <c:f>'8.2. Standard Normal pdf CDF'!$C$8:$C$90</c:f>
              <c:numCache>
                <c:formatCode>0.000%</c:formatCode>
                <c:ptCount val="83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4.2478027055075219E-4</c:v>
                </c:pt>
                <c:pt idx="4">
                  <c:v>6.1190193011377298E-4</c:v>
                </c:pt>
                <c:pt idx="5">
                  <c:v>8.7268269504576167E-4</c:v>
                </c:pt>
                <c:pt idx="6">
                  <c:v>1.232219168473021E-3</c:v>
                </c:pt>
                <c:pt idx="7">
                  <c:v>1.7225689390536843E-3</c:v>
                </c:pt>
                <c:pt idx="8">
                  <c:v>2.3840882014648486E-3</c:v>
                </c:pt>
                <c:pt idx="9">
                  <c:v>3.2668190561999273E-3</c:v>
                </c:pt>
                <c:pt idx="10">
                  <c:v>4.4318484119380188E-3</c:v>
                </c:pt>
                <c:pt idx="11">
                  <c:v>5.9525324197758694E-3</c:v>
                </c:pt>
                <c:pt idx="12">
                  <c:v>7.9154515829799894E-3</c:v>
                </c:pt>
                <c:pt idx="13">
                  <c:v>1.0420934814422628E-2</c:v>
                </c:pt>
                <c:pt idx="14">
                  <c:v>1.3582969233685661E-2</c:v>
                </c:pt>
                <c:pt idx="15">
                  <c:v>1.7528300493568599E-2</c:v>
                </c:pt>
                <c:pt idx="16">
                  <c:v>2.2394530294842969E-2</c:v>
                </c:pt>
                <c:pt idx="17">
                  <c:v>2.665214220345808E-2</c:v>
                </c:pt>
                <c:pt idx="18">
                  <c:v>2.8327037741601276E-2</c:v>
                </c:pt>
                <c:pt idx="19">
                  <c:v>3.547459284623157E-2</c:v>
                </c:pt>
                <c:pt idx="20">
                  <c:v>4.3983595980427351E-2</c:v>
                </c:pt>
                <c:pt idx="21">
                  <c:v>5.399096651318825E-2</c:v>
                </c:pt>
                <c:pt idx="22">
                  <c:v>6.5615814774676831E-2</c:v>
                </c:pt>
                <c:pt idx="23">
                  <c:v>7.8950158300894427E-2</c:v>
                </c:pt>
                <c:pt idx="24">
                  <c:v>9.4049077376887252E-2</c:v>
                </c:pt>
                <c:pt idx="25">
                  <c:v>0.10313564037537132</c:v>
                </c:pt>
                <c:pt idx="26">
                  <c:v>0.11092083467945592</c:v>
                </c:pt>
                <c:pt idx="27">
                  <c:v>0.12951759566589216</c:v>
                </c:pt>
                <c:pt idx="28">
                  <c:v>0.14972746563574535</c:v>
                </c:pt>
                <c:pt idx="29">
                  <c:v>0.17136859204780791</c:v>
                </c:pt>
                <c:pt idx="30">
                  <c:v>0.19418605498321354</c:v>
                </c:pt>
                <c:pt idx="31">
                  <c:v>0.21785217703255116</c:v>
                </c:pt>
                <c:pt idx="32">
                  <c:v>0.24197072451914398</c:v>
                </c:pt>
                <c:pt idx="33">
                  <c:v>0.26608524989875543</c:v>
                </c:pt>
                <c:pt idx="34">
                  <c:v>0.28969155276148334</c:v>
                </c:pt>
                <c:pt idx="35">
                  <c:v>0.31225393336676183</c:v>
                </c:pt>
                <c:pt idx="36">
                  <c:v>0.33322460289180011</c:v>
                </c:pt>
                <c:pt idx="37">
                  <c:v>0.35206532676429991</c:v>
                </c:pt>
                <c:pt idx="38">
                  <c:v>0.36827014030332367</c:v>
                </c:pt>
                <c:pt idx="39">
                  <c:v>0.38138781546052442</c:v>
                </c:pt>
                <c:pt idx="40">
                  <c:v>0.3910426939754561</c:v>
                </c:pt>
                <c:pt idx="41">
                  <c:v>0.39695254747701186</c:v>
                </c:pt>
                <c:pt idx="42">
                  <c:v>0.3989422804014327</c:v>
                </c:pt>
                <c:pt idx="43">
                  <c:v>0.3969525474770117</c:v>
                </c:pt>
                <c:pt idx="44">
                  <c:v>0.39104269397545571</c:v>
                </c:pt>
                <c:pt idx="45">
                  <c:v>0.3813878154605238</c:v>
                </c:pt>
                <c:pt idx="46">
                  <c:v>0.36827014030332295</c:v>
                </c:pt>
                <c:pt idx="47">
                  <c:v>0.35206532676429908</c:v>
                </c:pt>
                <c:pt idx="48">
                  <c:v>0.33322460289179917</c:v>
                </c:pt>
                <c:pt idx="49">
                  <c:v>0.31225393336676072</c:v>
                </c:pt>
                <c:pt idx="50">
                  <c:v>0.28969155276148217</c:v>
                </c:pt>
                <c:pt idx="51">
                  <c:v>0.26608524989875426</c:v>
                </c:pt>
                <c:pt idx="52">
                  <c:v>0.24197072451914278</c:v>
                </c:pt>
                <c:pt idx="53">
                  <c:v>0.21785217703254997</c:v>
                </c:pt>
                <c:pt idx="54">
                  <c:v>0.19418605498321231</c:v>
                </c:pt>
                <c:pt idx="55">
                  <c:v>0.17136859204780677</c:v>
                </c:pt>
                <c:pt idx="56">
                  <c:v>0.14972746563574427</c:v>
                </c:pt>
                <c:pt idx="57">
                  <c:v>0.12951759566589116</c:v>
                </c:pt>
                <c:pt idx="58">
                  <c:v>0.11092083467945503</c:v>
                </c:pt>
                <c:pt idx="59">
                  <c:v>9.4049077376886434E-2</c:v>
                </c:pt>
                <c:pt idx="60">
                  <c:v>7.8950158300893719E-2</c:v>
                </c:pt>
                <c:pt idx="61">
                  <c:v>6.5615814774676193E-2</c:v>
                </c:pt>
                <c:pt idx="62">
                  <c:v>5.3990966513187716E-2</c:v>
                </c:pt>
                <c:pt idx="63">
                  <c:v>4.39835959804269E-2</c:v>
                </c:pt>
                <c:pt idx="64">
                  <c:v>3.5474592846231189E-2</c:v>
                </c:pt>
                <c:pt idx="65">
                  <c:v>2.8327037741600961E-2</c:v>
                </c:pt>
                <c:pt idx="66">
                  <c:v>2.2394530294842712E-2</c:v>
                </c:pt>
                <c:pt idx="67">
                  <c:v>1.7528300493568381E-2</c:v>
                </c:pt>
                <c:pt idx="68">
                  <c:v>1.3582969233685486E-2</c:v>
                </c:pt>
                <c:pt idx="69">
                  <c:v>1.0420934814422488E-2</c:v>
                </c:pt>
                <c:pt idx="70">
                  <c:v>7.9154515829798801E-3</c:v>
                </c:pt>
                <c:pt idx="71">
                  <c:v>5.9525324197757853E-3</c:v>
                </c:pt>
                <c:pt idx="72">
                  <c:v>4.4318484119379529E-3</c:v>
                </c:pt>
                <c:pt idx="73">
                  <c:v>3.2668190561998783E-3</c:v>
                </c:pt>
                <c:pt idx="74">
                  <c:v>2.3840882014648105E-3</c:v>
                </c:pt>
                <c:pt idx="75">
                  <c:v>1.7225689390536552E-3</c:v>
                </c:pt>
                <c:pt idx="76">
                  <c:v>1.2322191684730013E-3</c:v>
                </c:pt>
                <c:pt idx="77">
                  <c:v>8.7268269504574606E-4</c:v>
                </c:pt>
                <c:pt idx="78">
                  <c:v>6.1190193011376214E-4</c:v>
                </c:pt>
                <c:pt idx="79">
                  <c:v>4.2478027055074428E-4</c:v>
                </c:pt>
                <c:pt idx="80">
                  <c:v>2.9194692579145507E-4</c:v>
                </c:pt>
                <c:pt idx="81">
                  <c:v>1.9865547139276881E-4</c:v>
                </c:pt>
                <c:pt idx="82">
                  <c:v>1.3383022576488298E-4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C-4436-90E8-99CC0192D5F7}"/>
            </c:ext>
          </c:extLst>
        </c:ser>
        <c:ser>
          <c:idx val="1"/>
          <c:order val="1"/>
          <c:val>
            <c:numRef>
              <c:f>'8.2. Standard Normal pdf CDF'!$D$8:$D$90</c:f>
              <c:numCache>
                <c:formatCode>General</c:formatCode>
                <c:ptCount val="83"/>
                <c:pt idx="17" formatCode="0.000%">
                  <c:v>2.665214220345808E-2</c:v>
                </c:pt>
                <c:pt idx="25" formatCode="0.000%">
                  <c:v>0.10313564037537132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C-4436-90E8-99CC0192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24856"/>
        <c:axId val="317925248"/>
      </c:lineChart>
      <c:catAx>
        <c:axId val="317924856"/>
        <c:scaling>
          <c:orientation val="minMax"/>
        </c:scaling>
        <c:delete val="0"/>
        <c:axPos val="b"/>
        <c:numFmt formatCode="_(* #,##0.0_);_(* \(#,##0.0\);_(* &quot;-&quot;??_);_(@_)" sourceLinked="1"/>
        <c:majorTickMark val="out"/>
        <c:minorTickMark val="none"/>
        <c:tickLblPos val="nextTo"/>
        <c:crossAx val="317925248"/>
        <c:crosses val="autoZero"/>
        <c:auto val="1"/>
        <c:lblAlgn val="ctr"/>
        <c:lblOffset val="100"/>
        <c:noMultiLvlLbl val="0"/>
      </c:catAx>
      <c:valAx>
        <c:axId val="317925248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317924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2.wmf"/><Relationship Id="rId4" Type="http://schemas.openxmlformats.org/officeDocument/2006/relationships/image" Target="../media/image1.w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2.wmf"/><Relationship Id="rId4" Type="http://schemas.openxmlformats.org/officeDocument/2006/relationships/image" Target="../media/image1.w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0</xdr:colOff>
      <xdr:row>39</xdr:row>
      <xdr:rowOff>152400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5A2897AE-DE62-4DF9-9152-8ED2838FDCA1}"/>
            </a:ext>
          </a:extLst>
        </xdr:cNvPr>
        <xdr:cNvGrpSpPr>
          <a:grpSpLocks/>
        </xdr:cNvGrpSpPr>
      </xdr:nvGrpSpPr>
      <xdr:grpSpPr bwMode="auto">
        <a:xfrm>
          <a:off x="5267325" y="704850"/>
          <a:ext cx="4400550" cy="6153150"/>
          <a:chOff x="1290" y="49"/>
          <a:chExt cx="602" cy="836"/>
        </a:xfrm>
      </xdr:grpSpPr>
      <xdr:grpSp>
        <xdr:nvGrpSpPr>
          <xdr:cNvPr id="3" name="Group 15">
            <a:extLst>
              <a:ext uri="{FF2B5EF4-FFF2-40B4-BE49-F238E27FC236}">
                <a16:creationId xmlns:a16="http://schemas.microsoft.com/office/drawing/2014/main" id="{8BD730F4-6A06-271E-591C-C00A219306F2}"/>
              </a:ext>
            </a:extLst>
          </xdr:cNvPr>
          <xdr:cNvGrpSpPr>
            <a:grpSpLocks/>
          </xdr:cNvGrpSpPr>
        </xdr:nvGrpSpPr>
        <xdr:grpSpPr bwMode="auto">
          <a:xfrm>
            <a:off x="1290" y="49"/>
            <a:ext cx="602" cy="836"/>
            <a:chOff x="1275" y="48"/>
            <a:chExt cx="602" cy="836"/>
          </a:xfrm>
        </xdr:grpSpPr>
        <xdr:graphicFrame macro="">
          <xdr:nvGraphicFramePr>
            <xdr:cNvPr id="5" name="Chart 9">
              <a:extLst>
                <a:ext uri="{FF2B5EF4-FFF2-40B4-BE49-F238E27FC236}">
                  <a16:creationId xmlns:a16="http://schemas.microsoft.com/office/drawing/2014/main" id="{D2B3BF14-5B92-28E0-0FDD-E5C0C10A4E5C}"/>
                </a:ext>
              </a:extLst>
            </xdr:cNvPr>
            <xdr:cNvGraphicFramePr>
              <a:graphicFrameLocks/>
            </xdr:cNvGraphicFramePr>
          </xdr:nvGraphicFramePr>
          <xdr:xfrm>
            <a:off x="1275" y="48"/>
            <a:ext cx="602" cy="4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10">
              <a:extLst>
                <a:ext uri="{FF2B5EF4-FFF2-40B4-BE49-F238E27FC236}">
                  <a16:creationId xmlns:a16="http://schemas.microsoft.com/office/drawing/2014/main" id="{742D43CA-D301-4B1C-31E9-90869C2E19E4}"/>
                </a:ext>
              </a:extLst>
            </xdr:cNvPr>
            <xdr:cNvGraphicFramePr>
              <a:graphicFrameLocks/>
            </xdr:cNvGraphicFramePr>
          </xdr:nvGraphicFramePr>
          <xdr:xfrm>
            <a:off x="1275" y="466"/>
            <a:ext cx="602" cy="4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Line 11">
              <a:extLst>
                <a:ext uri="{FF2B5EF4-FFF2-40B4-BE49-F238E27FC236}">
                  <a16:creationId xmlns:a16="http://schemas.microsoft.com/office/drawing/2014/main" id="{FCCC93D8-F99B-034C-8532-C4AEE5BD40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30" y="560"/>
              <a:ext cx="0" cy="299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12">
            <a:extLst>
              <a:ext uri="{FF2B5EF4-FFF2-40B4-BE49-F238E27FC236}">
                <a16:creationId xmlns:a16="http://schemas.microsoft.com/office/drawing/2014/main" id="{1D314FA9-00A4-F3FC-251B-62225C453A5E}"/>
              </a:ext>
            </a:extLst>
          </xdr:cNvPr>
          <xdr:cNvSpPr>
            <a:spLocks noChangeShapeType="1"/>
          </xdr:cNvSpPr>
        </xdr:nvSpPr>
        <xdr:spPr bwMode="auto">
          <a:xfrm>
            <a:off x="1353" y="825"/>
            <a:ext cx="1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40</xdr:row>
      <xdr:rowOff>11430</xdr:rowOff>
    </xdr:to>
    <xdr:grpSp>
      <xdr:nvGrpSpPr>
        <xdr:cNvPr id="8" name="Group 24">
          <a:extLst>
            <a:ext uri="{FF2B5EF4-FFF2-40B4-BE49-F238E27FC236}">
              <a16:creationId xmlns:a16="http://schemas.microsoft.com/office/drawing/2014/main" id="{03E0FE24-FF47-4C60-BD28-8D2208B1D948}"/>
            </a:ext>
          </a:extLst>
        </xdr:cNvPr>
        <xdr:cNvGrpSpPr>
          <a:grpSpLocks/>
        </xdr:cNvGrpSpPr>
      </xdr:nvGrpSpPr>
      <xdr:grpSpPr bwMode="auto">
        <a:xfrm>
          <a:off x="628650" y="704850"/>
          <a:ext cx="4400550" cy="6187440"/>
          <a:chOff x="326" y="109"/>
          <a:chExt cx="577" cy="824"/>
        </a:xfrm>
      </xdr:grpSpPr>
      <xdr:grpSp>
        <xdr:nvGrpSpPr>
          <xdr:cNvPr id="9" name="Group 25">
            <a:extLst>
              <a:ext uri="{FF2B5EF4-FFF2-40B4-BE49-F238E27FC236}">
                <a16:creationId xmlns:a16="http://schemas.microsoft.com/office/drawing/2014/main" id="{88754F3E-D13F-1ADD-4E75-692E7C98C699}"/>
              </a:ext>
            </a:extLst>
          </xdr:cNvPr>
          <xdr:cNvGrpSpPr>
            <a:grpSpLocks/>
          </xdr:cNvGrpSpPr>
        </xdr:nvGrpSpPr>
        <xdr:grpSpPr bwMode="auto">
          <a:xfrm>
            <a:off x="326" y="109"/>
            <a:ext cx="577" cy="824"/>
            <a:chOff x="326" y="109"/>
            <a:chExt cx="577" cy="824"/>
          </a:xfrm>
        </xdr:grpSpPr>
        <xdr:graphicFrame macro="">
          <xdr:nvGraphicFramePr>
            <xdr:cNvPr id="11" name="Chart 26">
              <a:extLst>
                <a:ext uri="{FF2B5EF4-FFF2-40B4-BE49-F238E27FC236}">
                  <a16:creationId xmlns:a16="http://schemas.microsoft.com/office/drawing/2014/main" id="{9E7D0608-81A3-D3EA-3892-0834F8287148}"/>
                </a:ext>
              </a:extLst>
            </xdr:cNvPr>
            <xdr:cNvGraphicFramePr>
              <a:graphicFrameLocks/>
            </xdr:cNvGraphicFramePr>
          </xdr:nvGraphicFramePr>
          <xdr:xfrm>
            <a:off x="326" y="109"/>
            <a:ext cx="577" cy="4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2" name="Chart 27">
              <a:extLst>
                <a:ext uri="{FF2B5EF4-FFF2-40B4-BE49-F238E27FC236}">
                  <a16:creationId xmlns:a16="http://schemas.microsoft.com/office/drawing/2014/main" id="{96A19844-D42A-8447-E1F6-AB07304FB7F7}"/>
                </a:ext>
              </a:extLst>
            </xdr:cNvPr>
            <xdr:cNvGraphicFramePr>
              <a:graphicFrameLocks/>
            </xdr:cNvGraphicFramePr>
          </xdr:nvGraphicFramePr>
          <xdr:xfrm>
            <a:off x="326" y="521"/>
            <a:ext cx="577" cy="4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13" name="Line 28">
              <a:extLst>
                <a:ext uri="{FF2B5EF4-FFF2-40B4-BE49-F238E27FC236}">
                  <a16:creationId xmlns:a16="http://schemas.microsoft.com/office/drawing/2014/main" id="{D2B14F27-DDC1-CCB8-5544-3582582BAB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" y="597"/>
              <a:ext cx="4" cy="248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9D5D7320-CF9A-F459-C671-0B76EB37C38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39" y="334"/>
            <a:ext cx="0" cy="148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0.09817</cdr:x>
      <cdr:y>0.7958</cdr:y>
    </cdr:from>
    <cdr:to>
      <cdr:x>0.36745</cdr:x>
      <cdr:y>0.7958</cdr:y>
    </cdr:to>
    <cdr:sp macro="" textlink="">
      <cdr:nvSpPr>
        <cdr:cNvPr id="1003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5466" y="3088230"/>
          <a:ext cx="156969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9</xdr:row>
      <xdr:rowOff>28576</xdr:rowOff>
    </xdr:from>
    <xdr:to>
      <xdr:col>9</xdr:col>
      <xdr:colOff>342900</xdr:colOff>
      <xdr:row>10</xdr:row>
      <xdr:rowOff>28575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9F01B2B-06B8-4796-A233-875B376607F5}"/>
            </a:ext>
          </a:extLst>
        </xdr:cNvPr>
        <xdr:cNvCxnSpPr/>
      </xdr:nvCxnSpPr>
      <xdr:spPr>
        <a:xfrm flipV="1">
          <a:off x="6427470" y="1664971"/>
          <a:ext cx="278130" cy="1904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10</xdr:row>
      <xdr:rowOff>161926</xdr:rowOff>
    </xdr:from>
    <xdr:to>
      <xdr:col>9</xdr:col>
      <xdr:colOff>342900</xdr:colOff>
      <xdr:row>11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9D5F215-F5C4-4DB1-BB8C-2F819B3579A5}"/>
            </a:ext>
          </a:extLst>
        </xdr:cNvPr>
        <xdr:cNvCxnSpPr/>
      </xdr:nvCxnSpPr>
      <xdr:spPr>
        <a:xfrm>
          <a:off x="6427470" y="1992631"/>
          <a:ext cx="278130" cy="1904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129540</xdr:rowOff>
    </xdr:from>
    <xdr:to>
      <xdr:col>11</xdr:col>
      <xdr:colOff>228600</xdr:colOff>
      <xdr:row>14</xdr:row>
      <xdr:rowOff>76201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F07DF45-5DDA-4524-94F2-F861EF3F4980}"/>
            </a:ext>
          </a:extLst>
        </xdr:cNvPr>
        <xdr:cNvGrpSpPr/>
      </xdr:nvGrpSpPr>
      <xdr:grpSpPr>
        <a:xfrm>
          <a:off x="7762875" y="1219200"/>
          <a:ext cx="228600" cy="1447801"/>
          <a:chOff x="7429500" y="1466850"/>
          <a:chExt cx="342900" cy="1466851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B507AFB-8C2B-4321-DE57-2AF99138FDA9}"/>
              </a:ext>
            </a:extLst>
          </xdr:cNvPr>
          <xdr:cNvCxnSpPr/>
        </xdr:nvCxnSpPr>
        <xdr:spPr>
          <a:xfrm flipV="1">
            <a:off x="7429500" y="1466850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3F28DF7-F79B-1726-2412-81BEF61B5A4B}"/>
              </a:ext>
            </a:extLst>
          </xdr:cNvPr>
          <xdr:cNvCxnSpPr/>
        </xdr:nvCxnSpPr>
        <xdr:spPr>
          <a:xfrm>
            <a:off x="7429500" y="1676400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0498F73C-A7F0-BF47-8DD9-1A3D89A39292}"/>
              </a:ext>
            </a:extLst>
          </xdr:cNvPr>
          <xdr:cNvCxnSpPr/>
        </xdr:nvCxnSpPr>
        <xdr:spPr>
          <a:xfrm flipV="1">
            <a:off x="7429500" y="2619375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31F3BFD9-AE94-2133-B8EC-1EB552B2C13A}"/>
              </a:ext>
            </a:extLst>
          </xdr:cNvPr>
          <xdr:cNvCxnSpPr/>
        </xdr:nvCxnSpPr>
        <xdr:spPr>
          <a:xfrm>
            <a:off x="7429500" y="2828925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9</xdr:row>
      <xdr:rowOff>28576</xdr:rowOff>
    </xdr:from>
    <xdr:to>
      <xdr:col>9</xdr:col>
      <xdr:colOff>342900</xdr:colOff>
      <xdr:row>10</xdr:row>
      <xdr:rowOff>28575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F7FF922-6C82-4CE6-9D99-47C2F2CB4BB4}"/>
            </a:ext>
          </a:extLst>
        </xdr:cNvPr>
        <xdr:cNvCxnSpPr/>
      </xdr:nvCxnSpPr>
      <xdr:spPr>
        <a:xfrm flipV="1">
          <a:off x="8361045" y="1655446"/>
          <a:ext cx="278130" cy="18097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10</xdr:row>
      <xdr:rowOff>161926</xdr:rowOff>
    </xdr:from>
    <xdr:to>
      <xdr:col>9</xdr:col>
      <xdr:colOff>342900</xdr:colOff>
      <xdr:row>11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A7FAA8D-490E-48B1-8227-4491DB0F13DF}"/>
            </a:ext>
          </a:extLst>
        </xdr:cNvPr>
        <xdr:cNvCxnSpPr/>
      </xdr:nvCxnSpPr>
      <xdr:spPr>
        <a:xfrm>
          <a:off x="8361045" y="1973581"/>
          <a:ext cx="278130" cy="18097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129540</xdr:rowOff>
    </xdr:from>
    <xdr:to>
      <xdr:col>11</xdr:col>
      <xdr:colOff>228600</xdr:colOff>
      <xdr:row>14</xdr:row>
      <xdr:rowOff>76201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1E3CE4E-72A4-4D47-9B9B-89D84DA78628}"/>
            </a:ext>
          </a:extLst>
        </xdr:cNvPr>
        <xdr:cNvGrpSpPr/>
      </xdr:nvGrpSpPr>
      <xdr:grpSpPr>
        <a:xfrm>
          <a:off x="9696450" y="1219200"/>
          <a:ext cx="228600" cy="1390651"/>
          <a:chOff x="7429500" y="1466850"/>
          <a:chExt cx="342900" cy="1466851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7DEDA894-879C-EAC0-91D3-1927FB262822}"/>
              </a:ext>
            </a:extLst>
          </xdr:cNvPr>
          <xdr:cNvCxnSpPr/>
        </xdr:nvCxnSpPr>
        <xdr:spPr>
          <a:xfrm flipV="1">
            <a:off x="7429500" y="1466850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A68AC706-FD56-DA36-D95A-FE0D4D50873E}"/>
              </a:ext>
            </a:extLst>
          </xdr:cNvPr>
          <xdr:cNvCxnSpPr/>
        </xdr:nvCxnSpPr>
        <xdr:spPr>
          <a:xfrm>
            <a:off x="7429500" y="1676400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C61CD95E-DA35-36C3-8045-15C038268978}"/>
              </a:ext>
            </a:extLst>
          </xdr:cNvPr>
          <xdr:cNvCxnSpPr/>
        </xdr:nvCxnSpPr>
        <xdr:spPr>
          <a:xfrm flipV="1">
            <a:off x="7429500" y="2619375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7F671C50-8CFB-4997-DF6A-DD830B0AE44D}"/>
              </a:ext>
            </a:extLst>
          </xdr:cNvPr>
          <xdr:cNvCxnSpPr/>
        </xdr:nvCxnSpPr>
        <xdr:spPr>
          <a:xfrm>
            <a:off x="7429500" y="2828925"/>
            <a:ext cx="34290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0</xdr:colOff>
      <xdr:row>3</xdr:row>
      <xdr:rowOff>190499</xdr:rowOff>
    </xdr:from>
    <xdr:ext cx="5962650" cy="230505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2DB93DE-C876-4170-A6D3-A503237C7966}"/>
            </a:ext>
          </a:extLst>
        </xdr:cNvPr>
        <xdr:cNvSpPr txBox="1"/>
      </xdr:nvSpPr>
      <xdr:spPr>
        <a:xfrm>
          <a:off x="11763375" y="723899"/>
          <a:ext cx="5962650" cy="2305051"/>
        </a:xfrm>
        <a:prstGeom prst="rect">
          <a:avLst/>
        </a:prstGeom>
        <a:solidFill>
          <a:schemeClr val="bg2">
            <a:lumMod val="9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 eaLnBrk="0" fontAlgn="base" latinLnBrk="0" hangingPunct="0"/>
          <a:r>
            <a:rPr lang="en-US" b="1">
              <a:effectLst/>
            </a:rPr>
            <a:t>Question:</a:t>
          </a:r>
          <a:r>
            <a:rPr lang="en-US" b="1" baseline="0">
              <a:effectLst/>
            </a:rPr>
            <a:t> </a:t>
          </a:r>
          <a:r>
            <a:rPr lang="en-US" b="1">
              <a:effectLst/>
            </a:rPr>
            <a:t>A credit card company processes 1.0 million transactions per day. A machine learning algorithm flags suspicious transactions as potentially fraudulent. </a:t>
          </a:r>
        </a:p>
        <a:p>
          <a:pPr rtl="0" eaLnBrk="0" fontAlgn="base" latinLnBrk="0" hangingPunct="0"/>
          <a:endParaRPr lang="en-US" b="1">
            <a:effectLst/>
          </a:endParaRPr>
        </a:p>
        <a:p>
          <a:pPr rtl="0" eaLnBrk="0" fontAlgn="base" latinLnBrk="0" hangingPunct="0"/>
          <a:r>
            <a:rPr lang="en-US" b="1">
              <a:effectLst/>
            </a:rPr>
            <a:t>Only 0.10% of total transactions (1,000) are fraudulent. Among the fraudulent transactions, there is a 99.0% probability the algo will flag it; that is, the algo has a true positive rate (TPR; aka, sensitivity) of 99.0%. </a:t>
          </a:r>
        </a:p>
        <a:p>
          <a:pPr rtl="0" eaLnBrk="0" fontAlgn="base" latinLnBrk="0" hangingPunct="0"/>
          <a:endParaRPr lang="en-US" b="1">
            <a:effectLst/>
          </a:endParaRPr>
        </a:p>
        <a:p>
          <a:pPr rtl="0" eaLnBrk="0" fontAlgn="base" latinLnBrk="0" hangingPunct="0"/>
          <a:r>
            <a:rPr lang="en-US" b="1">
              <a:effectLst/>
            </a:rPr>
            <a:t>Among legitimate transactions, the algo mistakenly flags 1.0% of them; i.e., the algo has false positive rate (FPR) of 1.0%. </a:t>
          </a:r>
        </a:p>
        <a:p>
          <a:pPr rtl="0" eaLnBrk="0" fontAlgn="base" latinLnBrk="0" hangingPunct="0"/>
          <a:endParaRPr lang="en-US" b="1">
            <a:effectLst/>
          </a:endParaRPr>
        </a:p>
        <a:p>
          <a:pPr rtl="0" eaLnBrk="0" fontAlgn="base" latinLnBrk="0" hangingPunct="0"/>
          <a:r>
            <a:rPr lang="en-US" b="1">
              <a:effectLst/>
            </a:rPr>
            <a:t>If a transaction is flagged, what is the probability it is fraudulent? </a:t>
          </a:r>
        </a:p>
        <a:p>
          <a:pPr rtl="0" eaLnBrk="0" fontAlgn="base" latinLnBrk="0" hangingPunct="0"/>
          <a:endParaRPr lang="en-US" b="1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11</xdr:row>
      <xdr:rowOff>142875</xdr:rowOff>
    </xdr:from>
    <xdr:to>
      <xdr:col>11</xdr:col>
      <xdr:colOff>266700</xdr:colOff>
      <xdr:row>14</xdr:row>
      <xdr:rowOff>133351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B63F8DB-A6A7-4702-B458-871DD69E11D8}"/>
            </a:ext>
          </a:extLst>
        </xdr:cNvPr>
        <xdr:cNvCxnSpPr/>
      </xdr:nvCxnSpPr>
      <xdr:spPr>
        <a:xfrm flipV="1">
          <a:off x="6682740" y="2131695"/>
          <a:ext cx="918210" cy="53149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102870</xdr:colOff>
      <xdr:row>9</xdr:row>
      <xdr:rowOff>129540</xdr:rowOff>
    </xdr:from>
    <xdr:to>
      <xdr:col>13</xdr:col>
      <xdr:colOff>354330</xdr:colOff>
      <xdr:row>11</xdr:row>
      <xdr:rowOff>64771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06AB075-5252-4797-BA4F-519C0290539C}"/>
            </a:ext>
          </a:extLst>
        </xdr:cNvPr>
        <xdr:cNvGrpSpPr/>
      </xdr:nvGrpSpPr>
      <xdr:grpSpPr>
        <a:xfrm>
          <a:off x="8692515" y="1762125"/>
          <a:ext cx="257175" cy="291466"/>
          <a:chOff x="8162925" y="1466850"/>
          <a:chExt cx="247650" cy="314326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4D2D6A01-E152-D0C4-1304-47A9EEDE8CE8}"/>
              </a:ext>
            </a:extLst>
          </xdr:cNvPr>
          <xdr:cNvCxnSpPr/>
        </xdr:nvCxnSpPr>
        <xdr:spPr>
          <a:xfrm flipV="1">
            <a:off x="8162925" y="1466850"/>
            <a:ext cx="24765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59D8D769-7998-5898-9EDC-D0F7DF94EEEB}"/>
              </a:ext>
            </a:extLst>
          </xdr:cNvPr>
          <xdr:cNvCxnSpPr/>
        </xdr:nvCxnSpPr>
        <xdr:spPr>
          <a:xfrm>
            <a:off x="8162925" y="1676400"/>
            <a:ext cx="24765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26670</xdr:colOff>
      <xdr:row>14</xdr:row>
      <xdr:rowOff>114300</xdr:rowOff>
    </xdr:from>
    <xdr:to>
      <xdr:col>13</xdr:col>
      <xdr:colOff>278130</xdr:colOff>
      <xdr:row>16</xdr:row>
      <xdr:rowOff>49531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793603A-592F-4FD4-8277-F83E52ED7A1C}"/>
            </a:ext>
          </a:extLst>
        </xdr:cNvPr>
        <xdr:cNvGrpSpPr/>
      </xdr:nvGrpSpPr>
      <xdr:grpSpPr>
        <a:xfrm>
          <a:off x="8616315" y="2647950"/>
          <a:ext cx="257175" cy="300991"/>
          <a:chOff x="8162925" y="2619375"/>
          <a:chExt cx="247650" cy="314326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722FD6DC-C99B-319E-BC5E-4180B3776DA6}"/>
              </a:ext>
            </a:extLst>
          </xdr:cNvPr>
          <xdr:cNvCxnSpPr/>
        </xdr:nvCxnSpPr>
        <xdr:spPr>
          <a:xfrm flipV="1">
            <a:off x="8162925" y="2619375"/>
            <a:ext cx="24765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1A9E8BD9-9375-C2B5-B677-6ABDF466339A}"/>
              </a:ext>
            </a:extLst>
          </xdr:cNvPr>
          <xdr:cNvCxnSpPr/>
        </xdr:nvCxnSpPr>
        <xdr:spPr>
          <a:xfrm>
            <a:off x="8162925" y="2828925"/>
            <a:ext cx="24765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26670</xdr:colOff>
      <xdr:row>19</xdr:row>
      <xdr:rowOff>125730</xdr:rowOff>
    </xdr:from>
    <xdr:to>
      <xdr:col>13</xdr:col>
      <xdr:colOff>278130</xdr:colOff>
      <xdr:row>21</xdr:row>
      <xdr:rowOff>53341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853259A-54CE-4DF2-95FB-528A8487E861}"/>
            </a:ext>
          </a:extLst>
        </xdr:cNvPr>
        <xdr:cNvGrpSpPr/>
      </xdr:nvGrpSpPr>
      <xdr:grpSpPr>
        <a:xfrm>
          <a:off x="8616315" y="3587115"/>
          <a:ext cx="257175" cy="308611"/>
          <a:chOff x="8162925" y="2619375"/>
          <a:chExt cx="247650" cy="314326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AD73305B-5C51-8856-45B7-B0991A8827EA}"/>
              </a:ext>
            </a:extLst>
          </xdr:cNvPr>
          <xdr:cNvCxnSpPr/>
        </xdr:nvCxnSpPr>
        <xdr:spPr>
          <a:xfrm flipV="1">
            <a:off x="8162925" y="2619375"/>
            <a:ext cx="24765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B0B5B555-332E-E5A9-0DAA-F22CDE6810F2}"/>
              </a:ext>
            </a:extLst>
          </xdr:cNvPr>
          <xdr:cNvCxnSpPr/>
        </xdr:nvCxnSpPr>
        <xdr:spPr>
          <a:xfrm>
            <a:off x="8162925" y="2828925"/>
            <a:ext cx="247650" cy="104776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19050</xdr:colOff>
      <xdr:row>16</xdr:row>
      <xdr:rowOff>142875</xdr:rowOff>
    </xdr:from>
    <xdr:to>
      <xdr:col>11</xdr:col>
      <xdr:colOff>266700</xdr:colOff>
      <xdr:row>19</xdr:row>
      <xdr:rowOff>133351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A1972F5-4198-4BF5-A430-2603F15CFC3A}"/>
            </a:ext>
          </a:extLst>
        </xdr:cNvPr>
        <xdr:cNvCxnSpPr/>
      </xdr:nvCxnSpPr>
      <xdr:spPr>
        <a:xfrm>
          <a:off x="6682740" y="3036570"/>
          <a:ext cx="918210" cy="53149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15</xdr:row>
      <xdr:rowOff>95251</xdr:rowOff>
    </xdr:from>
    <xdr:to>
      <xdr:col>11</xdr:col>
      <xdr:colOff>219075</xdr:colOff>
      <xdr:row>15</xdr:row>
      <xdr:rowOff>95251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1CB6CB0-8F71-4F0E-A4AE-6347C38564A8}"/>
            </a:ext>
          </a:extLst>
        </xdr:cNvPr>
        <xdr:cNvCxnSpPr/>
      </xdr:nvCxnSpPr>
      <xdr:spPr>
        <a:xfrm>
          <a:off x="6694170" y="2806066"/>
          <a:ext cx="8572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276225</xdr:colOff>
      <xdr:row>33</xdr:row>
      <xdr:rowOff>1569</xdr:rowOff>
    </xdr:from>
    <xdr:ext cx="5962650" cy="284795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B2FDFAE-F72A-487E-8EE4-326BD931CC8A}"/>
            </a:ext>
          </a:extLst>
        </xdr:cNvPr>
        <xdr:cNvSpPr txBox="1"/>
      </xdr:nvSpPr>
      <xdr:spPr>
        <a:xfrm>
          <a:off x="14946630" y="5973744"/>
          <a:ext cx="5962650" cy="2847959"/>
        </a:xfrm>
        <a:prstGeom prst="rect">
          <a:avLst/>
        </a:prstGeom>
        <a:solidFill>
          <a:srgbClr val="F0EEE4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Question: ... For example, suppose rather than stars and nonstars, we believe there are three types of managers: underperformers, in-line performers, and outperformers. The underperformers beat the market only 25% of the time, the in-line performers beat the market 50% of the time, and the outperformers beat the market 75% of the time. </a:t>
          </a:r>
        </a:p>
        <a:p>
          <a:endParaRPr lang="en-US" sz="1100" b="1"/>
        </a:p>
        <a:p>
          <a:r>
            <a:rPr lang="en-US" sz="1100" b="1"/>
            <a:t>Initially we believe that a given manager is most likely to be an in-line performer, and is less likely to be an underperformer or an outperformer. More specifically, our prior belief is that a manager has a 60% probability of being an in-line performer, a 20% chance of being an underperformer, and a 20% chance of being an outperformer. We can summarize this as: </a:t>
          </a:r>
        </a:p>
        <a:p>
          <a:endParaRPr lang="en-US" sz="1100" b="1"/>
        </a:p>
        <a:p>
          <a:r>
            <a:rPr lang="en-US" sz="1100" b="1"/>
            <a:t>P[p</a:t>
          </a:r>
          <a:r>
            <a:rPr lang="en-US" sz="1100" b="1" baseline="0"/>
            <a:t> = 0.25] = 20%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P[p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0.50] = 60%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P[p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0.75] = 20%</a:t>
          </a:r>
          <a:endParaRPr lang="en-US">
            <a:effectLst/>
          </a:endParaRPr>
        </a:p>
        <a:p>
          <a:endParaRPr lang="en-US" sz="1100" b="1"/>
        </a:p>
        <a:p>
          <a:r>
            <a:rPr lang="en-US" sz="1100" b="1"/>
            <a:t>Now suppose the manager beats the market two years in a row. What should our updated beliefs be?</a:t>
          </a:r>
        </a:p>
      </xdr:txBody>
    </xdr:sp>
    <xdr:clientData/>
  </xdr:oneCellAnchor>
  <xdr:twoCellAnchor>
    <xdr:from>
      <xdr:col>14</xdr:col>
      <xdr:colOff>676275</xdr:colOff>
      <xdr:row>28</xdr:row>
      <xdr:rowOff>171450</xdr:rowOff>
    </xdr:from>
    <xdr:to>
      <xdr:col>22</xdr:col>
      <xdr:colOff>0</xdr:colOff>
      <xdr:row>43</xdr:row>
      <xdr:rowOff>57150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B698AE0-DE3A-4BFE-8CB3-E59DF65B4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0</xdr:colOff>
      <xdr:row>39</xdr:row>
      <xdr:rowOff>152400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9E6D5835-9C7E-42A9-94AF-98DE064905D7}"/>
            </a:ext>
          </a:extLst>
        </xdr:cNvPr>
        <xdr:cNvGrpSpPr>
          <a:grpSpLocks/>
        </xdr:cNvGrpSpPr>
      </xdr:nvGrpSpPr>
      <xdr:grpSpPr bwMode="auto">
        <a:xfrm>
          <a:off x="5267325" y="704850"/>
          <a:ext cx="4400550" cy="6153150"/>
          <a:chOff x="1290" y="49"/>
          <a:chExt cx="602" cy="836"/>
        </a:xfrm>
      </xdr:grpSpPr>
      <xdr:grpSp>
        <xdr:nvGrpSpPr>
          <xdr:cNvPr id="3" name="Group 15">
            <a:extLst>
              <a:ext uri="{FF2B5EF4-FFF2-40B4-BE49-F238E27FC236}">
                <a16:creationId xmlns:a16="http://schemas.microsoft.com/office/drawing/2014/main" id="{1B15A10F-C1C1-9707-5FDD-0A64A6198254}"/>
              </a:ext>
            </a:extLst>
          </xdr:cNvPr>
          <xdr:cNvGrpSpPr>
            <a:grpSpLocks/>
          </xdr:cNvGrpSpPr>
        </xdr:nvGrpSpPr>
        <xdr:grpSpPr bwMode="auto">
          <a:xfrm>
            <a:off x="1290" y="49"/>
            <a:ext cx="602" cy="836"/>
            <a:chOff x="1275" y="48"/>
            <a:chExt cx="602" cy="836"/>
          </a:xfrm>
        </xdr:grpSpPr>
        <xdr:graphicFrame macro="">
          <xdr:nvGraphicFramePr>
            <xdr:cNvPr id="5" name="Chart 9">
              <a:extLst>
                <a:ext uri="{FF2B5EF4-FFF2-40B4-BE49-F238E27FC236}">
                  <a16:creationId xmlns:a16="http://schemas.microsoft.com/office/drawing/2014/main" id="{0E0A273D-320F-6E8A-1229-DB236FA8179E}"/>
                </a:ext>
              </a:extLst>
            </xdr:cNvPr>
            <xdr:cNvGraphicFramePr>
              <a:graphicFrameLocks/>
            </xdr:cNvGraphicFramePr>
          </xdr:nvGraphicFramePr>
          <xdr:xfrm>
            <a:off x="1275" y="48"/>
            <a:ext cx="602" cy="4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10">
              <a:extLst>
                <a:ext uri="{FF2B5EF4-FFF2-40B4-BE49-F238E27FC236}">
                  <a16:creationId xmlns:a16="http://schemas.microsoft.com/office/drawing/2014/main" id="{884A9945-C2D7-9547-4190-3114A7AEEED2}"/>
                </a:ext>
              </a:extLst>
            </xdr:cNvPr>
            <xdr:cNvGraphicFramePr>
              <a:graphicFrameLocks/>
            </xdr:cNvGraphicFramePr>
          </xdr:nvGraphicFramePr>
          <xdr:xfrm>
            <a:off x="1275" y="466"/>
            <a:ext cx="602" cy="4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Line 11">
              <a:extLst>
                <a:ext uri="{FF2B5EF4-FFF2-40B4-BE49-F238E27FC236}">
                  <a16:creationId xmlns:a16="http://schemas.microsoft.com/office/drawing/2014/main" id="{D219EF7C-0BAD-5526-3E8E-5DAE5D06FE0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30" y="560"/>
              <a:ext cx="0" cy="299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12">
            <a:extLst>
              <a:ext uri="{FF2B5EF4-FFF2-40B4-BE49-F238E27FC236}">
                <a16:creationId xmlns:a16="http://schemas.microsoft.com/office/drawing/2014/main" id="{B63CFFAB-9B9C-FF4B-241D-7309E7D7F571}"/>
              </a:ext>
            </a:extLst>
          </xdr:cNvPr>
          <xdr:cNvSpPr>
            <a:spLocks noChangeShapeType="1"/>
          </xdr:cNvSpPr>
        </xdr:nvSpPr>
        <xdr:spPr bwMode="auto">
          <a:xfrm>
            <a:off x="1353" y="825"/>
            <a:ext cx="1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40</xdr:row>
      <xdr:rowOff>11430</xdr:rowOff>
    </xdr:to>
    <xdr:grpSp>
      <xdr:nvGrpSpPr>
        <xdr:cNvPr id="8" name="Group 24">
          <a:extLst>
            <a:ext uri="{FF2B5EF4-FFF2-40B4-BE49-F238E27FC236}">
              <a16:creationId xmlns:a16="http://schemas.microsoft.com/office/drawing/2014/main" id="{C53D460F-AA4A-48AD-8C26-8673B503C75E}"/>
            </a:ext>
          </a:extLst>
        </xdr:cNvPr>
        <xdr:cNvGrpSpPr>
          <a:grpSpLocks/>
        </xdr:cNvGrpSpPr>
      </xdr:nvGrpSpPr>
      <xdr:grpSpPr bwMode="auto">
        <a:xfrm>
          <a:off x="628650" y="704850"/>
          <a:ext cx="4400550" cy="6187440"/>
          <a:chOff x="326" y="109"/>
          <a:chExt cx="577" cy="824"/>
        </a:xfrm>
      </xdr:grpSpPr>
      <xdr:grpSp>
        <xdr:nvGrpSpPr>
          <xdr:cNvPr id="9" name="Group 25">
            <a:extLst>
              <a:ext uri="{FF2B5EF4-FFF2-40B4-BE49-F238E27FC236}">
                <a16:creationId xmlns:a16="http://schemas.microsoft.com/office/drawing/2014/main" id="{CF7E2DFC-9AE2-0479-2FB8-FC51ACCE5A0B}"/>
              </a:ext>
            </a:extLst>
          </xdr:cNvPr>
          <xdr:cNvGrpSpPr>
            <a:grpSpLocks/>
          </xdr:cNvGrpSpPr>
        </xdr:nvGrpSpPr>
        <xdr:grpSpPr bwMode="auto">
          <a:xfrm>
            <a:off x="326" y="109"/>
            <a:ext cx="577" cy="824"/>
            <a:chOff x="326" y="109"/>
            <a:chExt cx="577" cy="824"/>
          </a:xfrm>
        </xdr:grpSpPr>
        <xdr:graphicFrame macro="">
          <xdr:nvGraphicFramePr>
            <xdr:cNvPr id="11" name="Chart 26">
              <a:extLst>
                <a:ext uri="{FF2B5EF4-FFF2-40B4-BE49-F238E27FC236}">
                  <a16:creationId xmlns:a16="http://schemas.microsoft.com/office/drawing/2014/main" id="{06AE55EE-E69E-7BF8-AAA4-797BB4767EA6}"/>
                </a:ext>
              </a:extLst>
            </xdr:cNvPr>
            <xdr:cNvGraphicFramePr>
              <a:graphicFrameLocks/>
            </xdr:cNvGraphicFramePr>
          </xdr:nvGraphicFramePr>
          <xdr:xfrm>
            <a:off x="326" y="109"/>
            <a:ext cx="577" cy="4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2" name="Chart 27">
              <a:extLst>
                <a:ext uri="{FF2B5EF4-FFF2-40B4-BE49-F238E27FC236}">
                  <a16:creationId xmlns:a16="http://schemas.microsoft.com/office/drawing/2014/main" id="{57587127-75BD-9940-53DC-F5078F240E62}"/>
                </a:ext>
              </a:extLst>
            </xdr:cNvPr>
            <xdr:cNvGraphicFramePr>
              <a:graphicFrameLocks/>
            </xdr:cNvGraphicFramePr>
          </xdr:nvGraphicFramePr>
          <xdr:xfrm>
            <a:off x="326" y="521"/>
            <a:ext cx="577" cy="4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13" name="Line 28">
              <a:extLst>
                <a:ext uri="{FF2B5EF4-FFF2-40B4-BE49-F238E27FC236}">
                  <a16:creationId xmlns:a16="http://schemas.microsoft.com/office/drawing/2014/main" id="{82C9D885-D57D-CFA4-97C9-CF156183349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" y="597"/>
              <a:ext cx="4" cy="248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9CE36BCE-2AD2-76AD-4CEB-1E02653B37F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39" y="334"/>
            <a:ext cx="0" cy="148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0.09817</cdr:x>
      <cdr:y>0.7958</cdr:y>
    </cdr:from>
    <cdr:to>
      <cdr:x>0.36745</cdr:x>
      <cdr:y>0.7958</cdr:y>
    </cdr:to>
    <cdr:sp macro="" textlink="">
      <cdr:nvSpPr>
        <cdr:cNvPr id="1003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5466" y="3088230"/>
          <a:ext cx="156969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0</xdr:colOff>
      <xdr:row>39</xdr:row>
      <xdr:rowOff>152400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E16D589-477C-4298-9738-4E15A19BF2A4}"/>
            </a:ext>
          </a:extLst>
        </xdr:cNvPr>
        <xdr:cNvGrpSpPr>
          <a:grpSpLocks/>
        </xdr:cNvGrpSpPr>
      </xdr:nvGrpSpPr>
      <xdr:grpSpPr bwMode="auto">
        <a:xfrm>
          <a:off x="5267325" y="704850"/>
          <a:ext cx="4400550" cy="6153150"/>
          <a:chOff x="1290" y="49"/>
          <a:chExt cx="602" cy="836"/>
        </a:xfrm>
      </xdr:grpSpPr>
      <xdr:grpSp>
        <xdr:nvGrpSpPr>
          <xdr:cNvPr id="3" name="Group 15">
            <a:extLst>
              <a:ext uri="{FF2B5EF4-FFF2-40B4-BE49-F238E27FC236}">
                <a16:creationId xmlns:a16="http://schemas.microsoft.com/office/drawing/2014/main" id="{87D33809-FB48-9A4A-6178-992481A79F3C}"/>
              </a:ext>
            </a:extLst>
          </xdr:cNvPr>
          <xdr:cNvGrpSpPr>
            <a:grpSpLocks/>
          </xdr:cNvGrpSpPr>
        </xdr:nvGrpSpPr>
        <xdr:grpSpPr bwMode="auto">
          <a:xfrm>
            <a:off x="1290" y="49"/>
            <a:ext cx="602" cy="836"/>
            <a:chOff x="1275" y="48"/>
            <a:chExt cx="602" cy="836"/>
          </a:xfrm>
        </xdr:grpSpPr>
        <xdr:graphicFrame macro="">
          <xdr:nvGraphicFramePr>
            <xdr:cNvPr id="5" name="Chart 9">
              <a:extLst>
                <a:ext uri="{FF2B5EF4-FFF2-40B4-BE49-F238E27FC236}">
                  <a16:creationId xmlns:a16="http://schemas.microsoft.com/office/drawing/2014/main" id="{71C4671B-CCEE-D04E-78F5-22E05C44BD57}"/>
                </a:ext>
              </a:extLst>
            </xdr:cNvPr>
            <xdr:cNvGraphicFramePr>
              <a:graphicFrameLocks/>
            </xdr:cNvGraphicFramePr>
          </xdr:nvGraphicFramePr>
          <xdr:xfrm>
            <a:off x="1275" y="48"/>
            <a:ext cx="602" cy="4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10">
              <a:extLst>
                <a:ext uri="{FF2B5EF4-FFF2-40B4-BE49-F238E27FC236}">
                  <a16:creationId xmlns:a16="http://schemas.microsoft.com/office/drawing/2014/main" id="{9A2D5113-080C-50A1-CB18-B039F1BB7614}"/>
                </a:ext>
              </a:extLst>
            </xdr:cNvPr>
            <xdr:cNvGraphicFramePr>
              <a:graphicFrameLocks/>
            </xdr:cNvGraphicFramePr>
          </xdr:nvGraphicFramePr>
          <xdr:xfrm>
            <a:off x="1275" y="466"/>
            <a:ext cx="602" cy="41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Line 11">
              <a:extLst>
                <a:ext uri="{FF2B5EF4-FFF2-40B4-BE49-F238E27FC236}">
                  <a16:creationId xmlns:a16="http://schemas.microsoft.com/office/drawing/2014/main" id="{B4E1E9DC-24E1-AC1D-AAC4-F4620B6F667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30" y="560"/>
              <a:ext cx="0" cy="299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12">
            <a:extLst>
              <a:ext uri="{FF2B5EF4-FFF2-40B4-BE49-F238E27FC236}">
                <a16:creationId xmlns:a16="http://schemas.microsoft.com/office/drawing/2014/main" id="{36F58C90-EAA9-48BF-1BD0-D7F1178E0FC2}"/>
              </a:ext>
            </a:extLst>
          </xdr:cNvPr>
          <xdr:cNvSpPr>
            <a:spLocks noChangeShapeType="1"/>
          </xdr:cNvSpPr>
        </xdr:nvSpPr>
        <xdr:spPr bwMode="auto">
          <a:xfrm>
            <a:off x="1353" y="825"/>
            <a:ext cx="1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40</xdr:row>
      <xdr:rowOff>11430</xdr:rowOff>
    </xdr:to>
    <xdr:grpSp>
      <xdr:nvGrpSpPr>
        <xdr:cNvPr id="8" name="Group 24">
          <a:extLst>
            <a:ext uri="{FF2B5EF4-FFF2-40B4-BE49-F238E27FC236}">
              <a16:creationId xmlns:a16="http://schemas.microsoft.com/office/drawing/2014/main" id="{1E8E3C46-A13D-410C-A70B-6AC1371A5447}"/>
            </a:ext>
          </a:extLst>
        </xdr:cNvPr>
        <xdr:cNvGrpSpPr>
          <a:grpSpLocks/>
        </xdr:cNvGrpSpPr>
      </xdr:nvGrpSpPr>
      <xdr:grpSpPr bwMode="auto">
        <a:xfrm>
          <a:off x="628650" y="704850"/>
          <a:ext cx="4400550" cy="6187440"/>
          <a:chOff x="326" y="109"/>
          <a:chExt cx="577" cy="824"/>
        </a:xfrm>
      </xdr:grpSpPr>
      <xdr:grpSp>
        <xdr:nvGrpSpPr>
          <xdr:cNvPr id="9" name="Group 25">
            <a:extLst>
              <a:ext uri="{FF2B5EF4-FFF2-40B4-BE49-F238E27FC236}">
                <a16:creationId xmlns:a16="http://schemas.microsoft.com/office/drawing/2014/main" id="{1F9D469E-AD76-EDDE-E94E-16048CE8AA58}"/>
              </a:ext>
            </a:extLst>
          </xdr:cNvPr>
          <xdr:cNvGrpSpPr>
            <a:grpSpLocks/>
          </xdr:cNvGrpSpPr>
        </xdr:nvGrpSpPr>
        <xdr:grpSpPr bwMode="auto">
          <a:xfrm>
            <a:off x="326" y="109"/>
            <a:ext cx="577" cy="824"/>
            <a:chOff x="326" y="109"/>
            <a:chExt cx="577" cy="824"/>
          </a:xfrm>
        </xdr:grpSpPr>
        <xdr:graphicFrame macro="">
          <xdr:nvGraphicFramePr>
            <xdr:cNvPr id="11" name="Chart 26">
              <a:extLst>
                <a:ext uri="{FF2B5EF4-FFF2-40B4-BE49-F238E27FC236}">
                  <a16:creationId xmlns:a16="http://schemas.microsoft.com/office/drawing/2014/main" id="{D6CD2630-A86C-F113-4257-5DF3134F5E15}"/>
                </a:ext>
              </a:extLst>
            </xdr:cNvPr>
            <xdr:cNvGraphicFramePr>
              <a:graphicFrameLocks/>
            </xdr:cNvGraphicFramePr>
          </xdr:nvGraphicFramePr>
          <xdr:xfrm>
            <a:off x="326" y="109"/>
            <a:ext cx="577" cy="4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2" name="Chart 27">
              <a:extLst>
                <a:ext uri="{FF2B5EF4-FFF2-40B4-BE49-F238E27FC236}">
                  <a16:creationId xmlns:a16="http://schemas.microsoft.com/office/drawing/2014/main" id="{61AAD324-5D43-9477-B87F-7014724DB4A4}"/>
                </a:ext>
              </a:extLst>
            </xdr:cNvPr>
            <xdr:cNvGraphicFramePr>
              <a:graphicFrameLocks/>
            </xdr:cNvGraphicFramePr>
          </xdr:nvGraphicFramePr>
          <xdr:xfrm>
            <a:off x="326" y="521"/>
            <a:ext cx="577" cy="4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13" name="Line 28">
              <a:extLst>
                <a:ext uri="{FF2B5EF4-FFF2-40B4-BE49-F238E27FC236}">
                  <a16:creationId xmlns:a16="http://schemas.microsoft.com/office/drawing/2014/main" id="{99C98315-7189-1B37-5138-0744E305633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" y="597"/>
              <a:ext cx="4" cy="248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63685D4E-4976-A9C6-BE24-67D37D6F9E4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39" y="334"/>
            <a:ext cx="0" cy="148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0.09817</cdr:x>
      <cdr:y>0.7958</cdr:y>
    </cdr:from>
    <cdr:to>
      <cdr:x>0.36745</cdr:x>
      <cdr:y>0.7958</cdr:y>
    </cdr:to>
    <cdr:sp macro="" textlink="">
      <cdr:nvSpPr>
        <cdr:cNvPr id="1003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5466" y="3088230"/>
          <a:ext cx="156969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550831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366CDA-8A93-41EB-853F-205C9C42AC22}"/>
            </a:ext>
          </a:extLst>
        </xdr:cNvPr>
        <xdr:cNvSpPr txBox="1"/>
      </xdr:nvSpPr>
      <xdr:spPr>
        <a:xfrm>
          <a:off x="18594991" y="279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16</xdr:col>
      <xdr:colOff>573052</xdr:colOff>
      <xdr:row>23</xdr:row>
      <xdr:rowOff>87473</xdr:rowOff>
    </xdr:from>
    <xdr:to>
      <xdr:col>19</xdr:col>
      <xdr:colOff>485970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378969C-912A-40E6-8914-DE1E49B56497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𝐫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𝐭𝐡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𝐦𝐨𝐦𝐞𝐧𝐭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𝐄</m:t>
                    </m:r>
                    <m:d>
                      <m:dPr>
                        <m:begChr m:val="["/>
                        <m:endChr m:val="]"/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𝐗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−µ)</m:t>
                            </m:r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𝐫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𝐤𝐮𝐫𝐭𝐨𝐬𝐢𝐬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2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𝐄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𝐗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−µ)</m:t>
                                </m:r>
                              </m:e>
                              <m:sup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𝟒</m:t>
                                </m:r>
                              </m:sup>
                            </m:sSup>
                          </m:e>
                        </m:d>
                      </m:num>
                      <m:den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𝛔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378969C-912A-40E6-8914-DE1E49B56497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𝐫 𝐭𝐡 𝐦𝐨𝐦𝐞𝐧𝐭</a:t>
              </a:r>
              <a:r>
                <a:rPr lang="en-US" sz="1200" b="1" i="0">
                  <a:latin typeface="Cambria Math" panose="02040503050406030204" pitchFamily="18" charset="0"/>
                </a:rPr>
                <a:t>=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𝐄[〖(𝐗−µ)〗^𝐫 ]</a:t>
              </a:r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𝐤𝐮𝐫𝐭𝐨𝐬𝐢𝐬=𝐄[〖(𝐗−µ)〗^𝟒 ]/𝛔^𝟒 </a:t>
              </a:r>
              <a:endParaRPr lang="en-US" sz="1200">
                <a:effectLst/>
              </a:endParaRP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550831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BD8994-D52C-416D-831B-999D7C778069}"/>
            </a:ext>
          </a:extLst>
        </xdr:cNvPr>
        <xdr:cNvSpPr txBox="1"/>
      </xdr:nvSpPr>
      <xdr:spPr>
        <a:xfrm>
          <a:off x="18594991" y="279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16</xdr:col>
      <xdr:colOff>573052</xdr:colOff>
      <xdr:row>23</xdr:row>
      <xdr:rowOff>87473</xdr:rowOff>
    </xdr:from>
    <xdr:to>
      <xdr:col>19</xdr:col>
      <xdr:colOff>485970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FE116DC-BB63-46DA-B51B-2773F14452C9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𝐫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𝐭𝐡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𝐦𝐨𝐦𝐞𝐧𝐭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𝐄</m:t>
                    </m:r>
                    <m:d>
                      <m:dPr>
                        <m:begChr m:val="["/>
                        <m:endChr m:val="]"/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𝐗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−µ)</m:t>
                            </m:r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𝐫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𝐤𝐮𝐫𝐭𝐨𝐬𝐢𝐬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2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𝐄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𝐗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−µ)</m:t>
                                </m:r>
                              </m:e>
                              <m:sup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𝟒</m:t>
                                </m:r>
                              </m:sup>
                            </m:sSup>
                          </m:e>
                        </m:d>
                      </m:num>
                      <m:den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𝛔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FE116DC-BB63-46DA-B51B-2773F14452C9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𝐫 𝐭𝐡 𝐦𝐨𝐦𝐞𝐧𝐭</a:t>
              </a:r>
              <a:r>
                <a:rPr lang="en-US" sz="1200" b="1" i="0">
                  <a:latin typeface="Cambria Math" panose="02040503050406030204" pitchFamily="18" charset="0"/>
                </a:rPr>
                <a:t>=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𝐄[〖(𝐗−µ)〗^𝐫 ]</a:t>
              </a:r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𝐤𝐮𝐫𝐭𝐨𝐬𝐢𝐬=𝐄[〖(𝐗−µ)〗^𝟒 ]/𝛔^𝟒 </a:t>
              </a:r>
              <a:endParaRPr lang="en-US" sz="1200">
                <a:effectLst/>
              </a:endParaRP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550831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BEB246-EA51-41E4-B1AA-0FD11BBDE782}"/>
            </a:ext>
          </a:extLst>
        </xdr:cNvPr>
        <xdr:cNvSpPr txBox="1"/>
      </xdr:nvSpPr>
      <xdr:spPr>
        <a:xfrm>
          <a:off x="18594991" y="279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16</xdr:col>
      <xdr:colOff>573052</xdr:colOff>
      <xdr:row>23</xdr:row>
      <xdr:rowOff>87473</xdr:rowOff>
    </xdr:from>
    <xdr:to>
      <xdr:col>19</xdr:col>
      <xdr:colOff>485970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30C8E5-CBA2-4221-A4C7-2698E826A4D6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𝐫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𝐭𝐡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𝐦𝐨𝐦𝐞𝐧𝐭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𝐄</m:t>
                    </m:r>
                    <m:d>
                      <m:dPr>
                        <m:begChr m:val="["/>
                        <m:endChr m:val="]"/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𝐗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−µ)</m:t>
                            </m:r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𝐫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𝐤𝐮𝐫𝐭𝐨𝐬𝐢𝐬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2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𝐄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𝐗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−µ)</m:t>
                                </m:r>
                              </m:e>
                              <m:sup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𝟒</m:t>
                                </m:r>
                              </m:sup>
                            </m:sSup>
                          </m:e>
                        </m:d>
                      </m:num>
                      <m:den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𝛔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30C8E5-CBA2-4221-A4C7-2698E826A4D6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𝐫 𝐭𝐡 𝐦𝐨𝐦𝐞𝐧𝐭</a:t>
              </a:r>
              <a:r>
                <a:rPr lang="en-US" sz="1200" b="1" i="0">
                  <a:latin typeface="Cambria Math" panose="02040503050406030204" pitchFamily="18" charset="0"/>
                </a:rPr>
                <a:t>=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𝐄[〖(𝐗−µ)〗^𝐫 ]</a:t>
              </a:r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𝐤𝐮𝐫𝐭𝐨𝐬𝐢𝐬=𝐄[〖(𝐗−µ)〗^𝟒 ]/𝛔^𝟒 </a:t>
              </a:r>
              <a:endParaRPr lang="en-US" sz="1200">
                <a:effectLst/>
              </a:endParaRP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550831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026F05-1583-4A4A-982F-9A5A78FDF032}"/>
            </a:ext>
          </a:extLst>
        </xdr:cNvPr>
        <xdr:cNvSpPr txBox="1"/>
      </xdr:nvSpPr>
      <xdr:spPr>
        <a:xfrm>
          <a:off x="18594991" y="279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16</xdr:col>
      <xdr:colOff>573052</xdr:colOff>
      <xdr:row>23</xdr:row>
      <xdr:rowOff>87473</xdr:rowOff>
    </xdr:from>
    <xdr:to>
      <xdr:col>19</xdr:col>
      <xdr:colOff>485970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4D0B47-69B6-4D8E-8234-D1DB3C359F91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𝐫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𝐭𝐡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𝐦𝐨𝐦𝐞𝐧𝐭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𝐄</m:t>
                    </m:r>
                    <m:d>
                      <m:dPr>
                        <m:begChr m:val="["/>
                        <m:endChr m:val="]"/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𝐗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−µ)</m:t>
                            </m:r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𝐫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𝐤𝐮𝐫𝐭𝐨𝐬𝐢𝐬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2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𝐄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𝐗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−µ)</m:t>
                                </m:r>
                              </m:e>
                              <m:sup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𝟒</m:t>
                                </m:r>
                              </m:sup>
                            </m:sSup>
                          </m:e>
                        </m:d>
                      </m:num>
                      <m:den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𝛔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4D0B47-69B6-4D8E-8234-D1DB3C359F91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𝐫 𝐭𝐡 𝐦𝐨𝐦𝐞𝐧𝐭</a:t>
              </a:r>
              <a:r>
                <a:rPr lang="en-US" sz="1200" b="1" i="0">
                  <a:latin typeface="Cambria Math" panose="02040503050406030204" pitchFamily="18" charset="0"/>
                </a:rPr>
                <a:t>=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𝐄[〖(𝐗−µ)〗^𝐫 ]</a:t>
              </a:r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𝐤𝐮𝐫𝐭𝐨𝐬𝐢𝐬=𝐄[〖(𝐗−µ)〗^𝟒 ]/𝛔^𝟒 </a:t>
              </a:r>
              <a:endParaRPr lang="en-US" sz="1200">
                <a:effectLst/>
              </a:endParaRP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550831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A3C0B4-887E-4F78-ADF2-60F2D67B557C}"/>
            </a:ext>
          </a:extLst>
        </xdr:cNvPr>
        <xdr:cNvSpPr txBox="1"/>
      </xdr:nvSpPr>
      <xdr:spPr>
        <a:xfrm>
          <a:off x="18594991" y="279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16</xdr:col>
      <xdr:colOff>573052</xdr:colOff>
      <xdr:row>23</xdr:row>
      <xdr:rowOff>87473</xdr:rowOff>
    </xdr:from>
    <xdr:to>
      <xdr:col>19</xdr:col>
      <xdr:colOff>485970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04784E7-4707-4893-802C-6B59E168805A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𝐫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𝐭𝐡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𝐦𝐨𝐦𝐞𝐧𝐭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𝐄</m:t>
                    </m:r>
                    <m:d>
                      <m:dPr>
                        <m:begChr m:val="["/>
                        <m:endChr m:val="]"/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𝐗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−µ)</m:t>
                            </m:r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𝐫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𝐤𝐮𝐫𝐭𝐨𝐬𝐢𝐬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2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𝐄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𝐗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−µ)</m:t>
                                </m:r>
                              </m:e>
                              <m:sup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𝟒</m:t>
                                </m:r>
                              </m:sup>
                            </m:sSup>
                          </m:e>
                        </m:d>
                      </m:num>
                      <m:den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𝛔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04784E7-4707-4893-802C-6B59E168805A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𝐫 𝐭𝐡 𝐦𝐨𝐦𝐞𝐧𝐭</a:t>
              </a:r>
              <a:r>
                <a:rPr lang="en-US" sz="1200" b="1" i="0">
                  <a:latin typeface="Cambria Math" panose="02040503050406030204" pitchFamily="18" charset="0"/>
                </a:rPr>
                <a:t>=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𝐄[〖(𝐗−µ)〗^𝐫 ]</a:t>
              </a:r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𝐤𝐮𝐫𝐭𝐨𝐬𝐢𝐬=𝐄[〖(𝐗−µ)〗^𝟒 ]/𝛔^𝟒 </a:t>
              </a:r>
              <a:endParaRPr lang="en-US" sz="1200">
                <a:effectLst/>
              </a:endParaRP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550831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48BA65-9E6B-4604-9A7B-5560829B0DD9}"/>
            </a:ext>
          </a:extLst>
        </xdr:cNvPr>
        <xdr:cNvSpPr txBox="1"/>
      </xdr:nvSpPr>
      <xdr:spPr>
        <a:xfrm>
          <a:off x="18594991" y="279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16</xdr:col>
      <xdr:colOff>573052</xdr:colOff>
      <xdr:row>23</xdr:row>
      <xdr:rowOff>87473</xdr:rowOff>
    </xdr:from>
    <xdr:to>
      <xdr:col>19</xdr:col>
      <xdr:colOff>485970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E236E3-0F4E-414B-B361-815D3EE223B3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𝐫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𝐭𝐡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𝐦𝐨𝐦𝐞𝐧𝐭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𝐄</m:t>
                    </m:r>
                    <m:d>
                      <m:dPr>
                        <m:begChr m:val="["/>
                        <m:endChr m:val="]"/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𝐗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−µ)</m:t>
                            </m:r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𝐫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𝐤𝐮𝐫𝐭𝐨𝐬𝐢𝐬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2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𝐄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𝐗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−µ)</m:t>
                                </m:r>
                              </m:e>
                              <m:sup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𝟒</m:t>
                                </m:r>
                              </m:sup>
                            </m:sSup>
                          </m:e>
                        </m:d>
                      </m:num>
                      <m:den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𝛔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E236E3-0F4E-414B-B361-815D3EE223B3}"/>
                </a:ext>
              </a:extLst>
            </xdr:cNvPr>
            <xdr:cNvSpPr txBox="1"/>
          </xdr:nvSpPr>
          <xdr:spPr>
            <a:xfrm>
              <a:off x="11174377" y="4080353"/>
              <a:ext cx="2111288" cy="93932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𝐫 𝐭𝐡 𝐦𝐨𝐦𝐞𝐧𝐭</a:t>
              </a:r>
              <a:r>
                <a:rPr lang="en-US" sz="1200" b="1" i="0">
                  <a:latin typeface="Cambria Math" panose="02040503050406030204" pitchFamily="18" charset="0"/>
                </a:rPr>
                <a:t>=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𝐄[〖(𝐗−µ)〗^𝐫 ]</a:t>
              </a:r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𝐤𝐮𝐫𝐭𝐨𝐬𝐢𝐬=𝐄[〖(𝐗−µ)〗^𝟒 ]/𝛔^𝟒 </a:t>
              </a:r>
              <a:endParaRPr lang="en-US" sz="1200">
                <a:effectLst/>
              </a:endParaRP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2</xdr:row>
      <xdr:rowOff>180974</xdr:rowOff>
    </xdr:from>
    <xdr:to>
      <xdr:col>15</xdr:col>
      <xdr:colOff>542924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B131E-8987-4F65-8D04-8133F5B8C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28</xdr:row>
      <xdr:rowOff>123825</xdr:rowOff>
    </xdr:from>
    <xdr:to>
      <xdr:col>26</xdr:col>
      <xdr:colOff>390525</xdr:colOff>
      <xdr:row>49</xdr:row>
      <xdr:rowOff>28576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5C702A-4587-4658-A4C2-7559A6460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371474</xdr:colOff>
      <xdr:row>25</xdr:row>
      <xdr:rowOff>9524</xdr:rowOff>
    </xdr:from>
    <xdr:to>
      <xdr:col>17</xdr:col>
      <xdr:colOff>371475</xdr:colOff>
      <xdr:row>43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E4779F-10CB-403B-A736-DF5A3CFD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538163</xdr:colOff>
      <xdr:row>44</xdr:row>
      <xdr:rowOff>57150</xdr:rowOff>
    </xdr:from>
    <xdr:to>
      <xdr:col>11</xdr:col>
      <xdr:colOff>371475</xdr:colOff>
      <xdr:row>73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943CAD-0652-48F8-8A70-5588FEAC8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32833-4293-4F9A-8573-D9C5805FD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43</xdr:row>
      <xdr:rowOff>114300</xdr:rowOff>
    </xdr:from>
    <xdr:to>
      <xdr:col>11</xdr:col>
      <xdr:colOff>504825</xdr:colOff>
      <xdr:row>58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224A2F-38BC-4649-BE88-E97E00E7E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83</xdr:row>
      <xdr:rowOff>0</xdr:rowOff>
    </xdr:from>
    <xdr:to>
      <xdr:col>12</xdr:col>
      <xdr:colOff>0</xdr:colOff>
      <xdr:row>97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51D709-5848-4DE3-A753-AA6A0482D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71</xdr:row>
      <xdr:rowOff>133350</xdr:rowOff>
    </xdr:from>
    <xdr:to>
      <xdr:col>10</xdr:col>
      <xdr:colOff>266700</xdr:colOff>
      <xdr:row>75</xdr:row>
      <xdr:rowOff>0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34145"/>
            </a:ext>
            <a:ext uri="{FF2B5EF4-FFF2-40B4-BE49-F238E27FC236}">
              <a16:creationId xmlns:a16="http://schemas.microsoft.com/office/drawing/2014/main" id="{800EBFF3-5991-4BE9-805D-2F3D9B7F8950}"/>
            </a:ext>
          </a:extLst>
        </xdr:cNvPr>
        <xdr:cNvSpPr/>
      </xdr:nvSpPr>
      <xdr:spPr bwMode="auto">
        <a:xfrm>
          <a:off x="4714875" y="11588115"/>
          <a:ext cx="24003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352425</xdr:colOff>
      <xdr:row>47</xdr:row>
      <xdr:rowOff>142875</xdr:rowOff>
    </xdr:from>
    <xdr:to>
      <xdr:col>10</xdr:col>
      <xdr:colOff>485775</xdr:colOff>
      <xdr:row>51</xdr:row>
      <xdr:rowOff>28575</xdr:rowOff>
    </xdr:to>
    <xdr:sp macro="" textlink="">
      <xdr:nvSpPr>
        <xdr:cNvPr id="6" name="Object 2" hidden="1">
          <a:extLst>
            <a:ext uri="{63B3BB69-23CF-44E3-9099-C40C66FF867C}">
              <a14:compatExt xmlns:a14="http://schemas.microsoft.com/office/drawing/2010/main" spid="_x0000_s134146"/>
            </a:ext>
            <a:ext uri="{FF2B5EF4-FFF2-40B4-BE49-F238E27FC236}">
              <a16:creationId xmlns:a16="http://schemas.microsoft.com/office/drawing/2014/main" id="{E68F6013-C76A-4FBC-B0E6-42488DFF1B8B}"/>
            </a:ext>
          </a:extLst>
        </xdr:cNvPr>
        <xdr:cNvSpPr/>
      </xdr:nvSpPr>
      <xdr:spPr bwMode="auto">
        <a:xfrm>
          <a:off x="5983605" y="7256145"/>
          <a:ext cx="134874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sp>
    <xdr:clientData/>
  </xdr:twoCellAnchor>
  <xdr:oneCellAnchor>
    <xdr:from>
      <xdr:col>3</xdr:col>
      <xdr:colOff>438150</xdr:colOff>
      <xdr:row>120</xdr:row>
      <xdr:rowOff>85725</xdr:rowOff>
    </xdr:from>
    <xdr:ext cx="7515226" cy="178318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82B2E5-2818-41A0-B026-551450238D52}"/>
            </a:ext>
          </a:extLst>
        </xdr:cNvPr>
        <xdr:cNvSpPr txBox="1"/>
      </xdr:nvSpPr>
      <xdr:spPr>
        <a:xfrm>
          <a:off x="3053715" y="20442555"/>
          <a:ext cx="7515226" cy="17831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Describe and distinguish between continuous and discrete random variables.</a:t>
          </a:r>
          <a:r>
            <a:rPr lang="en-US" sz="1800" b="1">
              <a:effectLst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800" b="1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Define and distinguish between the probability density function, the cumulative distribution function, and the</a:t>
          </a:r>
          <a:r>
            <a:rPr lang="en-US" sz="1800" b="1">
              <a:effectLst/>
            </a:rPr>
            <a:t> </a:t>
          </a:r>
          <a:r>
            <a:rPr lang="en-US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inverse cumulative distribution function</a:t>
          </a:r>
          <a:r>
            <a:rPr lang="en-US" sz="1800" b="1">
              <a:effectLst/>
            </a:rPr>
            <a:t> </a:t>
          </a:r>
          <a:endParaRPr lang="en-US" sz="1800" b="1"/>
        </a:p>
      </xdr:txBody>
    </xdr:sp>
    <xdr:clientData/>
  </xdr:oneCellAnchor>
  <xdr:twoCellAnchor>
    <xdr:from>
      <xdr:col>6</xdr:col>
      <xdr:colOff>304800</xdr:colOff>
      <xdr:row>71</xdr:row>
      <xdr:rowOff>133350</xdr:rowOff>
    </xdr:from>
    <xdr:to>
      <xdr:col>10</xdr:col>
      <xdr:colOff>266700</xdr:colOff>
      <xdr:row>75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8D3A45A-5C7B-47C3-886D-5D608FF9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1588115"/>
          <a:ext cx="24003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352425</xdr:colOff>
      <xdr:row>47</xdr:row>
      <xdr:rowOff>142875</xdr:rowOff>
    </xdr:from>
    <xdr:to>
      <xdr:col>10</xdr:col>
      <xdr:colOff>485775</xdr:colOff>
      <xdr:row>51</xdr:row>
      <xdr:rowOff>28575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B89E0819-A576-4164-B9BF-0D926A05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605" y="7256145"/>
          <a:ext cx="134874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74757E-0ACD-4231-8EB4-42E6925A9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43</xdr:row>
      <xdr:rowOff>114300</xdr:rowOff>
    </xdr:from>
    <xdr:to>
      <xdr:col>11</xdr:col>
      <xdr:colOff>504825</xdr:colOff>
      <xdr:row>58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73C768-57C7-44FC-9854-2362E0BEC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83</xdr:row>
      <xdr:rowOff>0</xdr:rowOff>
    </xdr:from>
    <xdr:to>
      <xdr:col>12</xdr:col>
      <xdr:colOff>0</xdr:colOff>
      <xdr:row>97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14DF97-A8F8-45C8-96C3-1290E9C5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71</xdr:row>
      <xdr:rowOff>133350</xdr:rowOff>
    </xdr:from>
    <xdr:to>
      <xdr:col>10</xdr:col>
      <xdr:colOff>266700</xdr:colOff>
      <xdr:row>75</xdr:row>
      <xdr:rowOff>0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34145"/>
            </a:ext>
            <a:ext uri="{FF2B5EF4-FFF2-40B4-BE49-F238E27FC236}">
              <a16:creationId xmlns:a16="http://schemas.microsoft.com/office/drawing/2014/main" id="{146AFC30-F7EF-4886-8F2B-E9E0678EBB6A}"/>
            </a:ext>
          </a:extLst>
        </xdr:cNvPr>
        <xdr:cNvSpPr/>
      </xdr:nvSpPr>
      <xdr:spPr bwMode="auto">
        <a:xfrm>
          <a:off x="4714875" y="13035915"/>
          <a:ext cx="24003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352425</xdr:colOff>
      <xdr:row>47</xdr:row>
      <xdr:rowOff>142875</xdr:rowOff>
    </xdr:from>
    <xdr:to>
      <xdr:col>10</xdr:col>
      <xdr:colOff>485775</xdr:colOff>
      <xdr:row>51</xdr:row>
      <xdr:rowOff>28575</xdr:rowOff>
    </xdr:to>
    <xdr:sp macro="" textlink="">
      <xdr:nvSpPr>
        <xdr:cNvPr id="6" name="Object 2" hidden="1">
          <a:extLst>
            <a:ext uri="{63B3BB69-23CF-44E3-9099-C40C66FF867C}">
              <a14:compatExt xmlns:a14="http://schemas.microsoft.com/office/drawing/2010/main" spid="_x0000_s134146"/>
            </a:ext>
            <a:ext uri="{FF2B5EF4-FFF2-40B4-BE49-F238E27FC236}">
              <a16:creationId xmlns:a16="http://schemas.microsoft.com/office/drawing/2014/main" id="{A1225CF5-C785-4C9B-BCD1-AB07B55A56D8}"/>
            </a:ext>
          </a:extLst>
        </xdr:cNvPr>
        <xdr:cNvSpPr/>
      </xdr:nvSpPr>
      <xdr:spPr bwMode="auto">
        <a:xfrm>
          <a:off x="5983605" y="8703945"/>
          <a:ext cx="134874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sp>
    <xdr:clientData/>
  </xdr:twoCellAnchor>
  <xdr:oneCellAnchor>
    <xdr:from>
      <xdr:col>3</xdr:col>
      <xdr:colOff>438150</xdr:colOff>
      <xdr:row>120</xdr:row>
      <xdr:rowOff>85725</xdr:rowOff>
    </xdr:from>
    <xdr:ext cx="7515226" cy="178318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E2986A-9AF0-4810-A5CC-1939A1B8F9C8}"/>
            </a:ext>
          </a:extLst>
        </xdr:cNvPr>
        <xdr:cNvSpPr txBox="1"/>
      </xdr:nvSpPr>
      <xdr:spPr>
        <a:xfrm>
          <a:off x="3053715" y="21890355"/>
          <a:ext cx="7515226" cy="17831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Describe and distinguish between continuous and discrete random variables.</a:t>
          </a:r>
          <a:r>
            <a:rPr lang="en-US" sz="1800" b="1">
              <a:effectLst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800" b="1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Define and distinguish between the probability density function, the cumulative distribution function, and the</a:t>
          </a:r>
          <a:r>
            <a:rPr lang="en-US" sz="1800" b="1">
              <a:effectLst/>
            </a:rPr>
            <a:t> </a:t>
          </a:r>
          <a:r>
            <a:rPr lang="en-US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inverse cumulative distribution function</a:t>
          </a:r>
          <a:r>
            <a:rPr lang="en-US" sz="1800" b="1">
              <a:effectLst/>
            </a:rPr>
            <a:t> </a:t>
          </a:r>
          <a:endParaRPr lang="en-US" sz="1800" b="1"/>
        </a:p>
      </xdr:txBody>
    </xdr:sp>
    <xdr:clientData/>
  </xdr:oneCellAnchor>
  <xdr:twoCellAnchor>
    <xdr:from>
      <xdr:col>6</xdr:col>
      <xdr:colOff>304800</xdr:colOff>
      <xdr:row>71</xdr:row>
      <xdr:rowOff>133350</xdr:rowOff>
    </xdr:from>
    <xdr:to>
      <xdr:col>10</xdr:col>
      <xdr:colOff>266700</xdr:colOff>
      <xdr:row>75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B91E3F9-BC6A-4856-A4DE-C2082277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3035915"/>
          <a:ext cx="24003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352425</xdr:colOff>
      <xdr:row>47</xdr:row>
      <xdr:rowOff>142875</xdr:rowOff>
    </xdr:from>
    <xdr:to>
      <xdr:col>10</xdr:col>
      <xdr:colOff>485775</xdr:colOff>
      <xdr:row>51</xdr:row>
      <xdr:rowOff>28575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BD3B40B-D88F-4273-835D-46D566B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605" y="8703945"/>
          <a:ext cx="134874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550831</xdr:colOff>
      <xdr:row>16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247A07-2A15-4C80-A856-04152A6903D9}"/>
            </a:ext>
          </a:extLst>
        </xdr:cNvPr>
        <xdr:cNvSpPr txBox="1"/>
      </xdr:nvSpPr>
      <xdr:spPr>
        <a:xfrm>
          <a:off x="18156841" y="289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17</xdr:col>
      <xdr:colOff>573052</xdr:colOff>
      <xdr:row>23</xdr:row>
      <xdr:rowOff>87473</xdr:rowOff>
    </xdr:from>
    <xdr:to>
      <xdr:col>20</xdr:col>
      <xdr:colOff>485970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60B14E0-710F-421A-8FB9-5E8253081622}"/>
                </a:ext>
              </a:extLst>
            </xdr:cNvPr>
            <xdr:cNvSpPr txBox="1"/>
          </xdr:nvSpPr>
          <xdr:spPr>
            <a:xfrm>
              <a:off x="11260102" y="4251803"/>
              <a:ext cx="1796963" cy="99647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𝐫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𝐭𝐡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𝐦𝐨𝐦𝐞𝐧𝐭</m:t>
                    </m:r>
                    <m:r>
                      <a:rPr lang="en-US" sz="1200" b="1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𝐄</m:t>
                    </m:r>
                    <m:d>
                      <m:dPr>
                        <m:begChr m:val="["/>
                        <m:endChr m:val="]"/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𝐗</m:t>
                            </m:r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−µ)</m:t>
                            </m:r>
                          </m:e>
                          <m:sup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𝐫</m:t>
                            </m:r>
                          </m:sup>
                        </m:sSup>
                      </m:e>
                    </m:d>
                  </m:oMath>
                </m:oMathPara>
              </a14:m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𝐤𝐮𝐫𝐭𝐨𝐬𝐢𝐬</m:t>
                    </m:r>
                    <m:r>
                      <a:rPr lang="en-US" sz="12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2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2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𝐄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𝐗</m:t>
                                </m:r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−µ)</m:t>
                                </m:r>
                              </m:e>
                              <m:sup>
                                <m:r>
                                  <a:rPr lang="en-US" sz="1200" b="1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𝟒</m:t>
                                </m:r>
                              </m:sup>
                            </m:sSup>
                          </m:e>
                        </m:d>
                      </m:num>
                      <m:den>
                        <m:sSup>
                          <m:sSupPr>
                            <m:ctrlP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2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𝛔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200">
                <a:effectLst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60B14E0-710F-421A-8FB9-5E8253081622}"/>
                </a:ext>
              </a:extLst>
            </xdr:cNvPr>
            <xdr:cNvSpPr txBox="1"/>
          </xdr:nvSpPr>
          <xdr:spPr>
            <a:xfrm>
              <a:off x="11260102" y="4251803"/>
              <a:ext cx="1796963" cy="996472"/>
            </a:xfrm>
            <a:prstGeom prst="rect">
              <a:avLst/>
            </a:prstGeom>
            <a:solidFill>
              <a:srgbClr val="F3F2E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𝐫 𝐭𝐡 𝐦𝐨𝐦𝐞𝐧𝐭</a:t>
              </a:r>
              <a:r>
                <a:rPr lang="en-US" sz="1200" b="1" i="0">
                  <a:latin typeface="Cambria Math" panose="02040503050406030204" pitchFamily="18" charset="0"/>
                </a:rPr>
                <a:t>=</a:t>
              </a: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𝐄[〖(𝐗−µ)〗^𝐫 ]</a:t>
              </a:r>
              <a:endParaRPr lang="en-US" sz="1200" b="1" i="0"/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𝐤𝐮𝐫𝐭𝐨𝐬𝐢𝐬=𝐄[〖(𝐗−µ)〗^𝟒 ]/𝛔^𝟒 </a:t>
              </a:r>
              <a:endParaRPr lang="en-US" sz="1200">
                <a:effectLst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8</xdr:col>
      <xdr:colOff>402382</xdr:colOff>
      <xdr:row>35</xdr:row>
      <xdr:rowOff>157843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47423F-1515-40FF-8568-EE8AED089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16</xdr:col>
      <xdr:colOff>376947</xdr:colOff>
      <xdr:row>36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295396-E813-4589-B2DB-4767022F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95250</xdr:rowOff>
    </xdr:from>
    <xdr:to>
      <xdr:col>20</xdr:col>
      <xdr:colOff>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39590-68AD-44FC-A9B8-541CFBFD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426297</xdr:colOff>
      <xdr:row>8</xdr:row>
      <xdr:rowOff>26248</xdr:rowOff>
    </xdr:from>
    <xdr:to>
      <xdr:col>30</xdr:col>
      <xdr:colOff>121497</xdr:colOff>
      <xdr:row>22</xdr:row>
      <xdr:rowOff>91864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53023A-FBB2-4129-81F1-21822BF42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20</xdr:col>
      <xdr:colOff>0</xdr:colOff>
      <xdr:row>30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1337CC-3613-4C71-B417-DA15E3832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401837</xdr:colOff>
      <xdr:row>7</xdr:row>
      <xdr:rowOff>161925</xdr:rowOff>
    </xdr:from>
    <xdr:to>
      <xdr:col>13</xdr:col>
      <xdr:colOff>401837</xdr:colOff>
      <xdr:row>28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9B8F899-DFCC-41EA-88FE-F941431FF4B4}"/>
            </a:ext>
          </a:extLst>
        </xdr:cNvPr>
        <xdr:cNvCxnSpPr/>
      </xdr:nvCxnSpPr>
      <xdr:spPr>
        <a:xfrm>
          <a:off x="8322827" y="1430655"/>
          <a:ext cx="0" cy="378904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457200</xdr:colOff>
      <xdr:row>12</xdr:row>
      <xdr:rowOff>47625</xdr:rowOff>
    </xdr:from>
    <xdr:ext cx="648639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198FACA-CE0A-46B1-90AC-98E91D4E5073}"/>
            </a:ext>
          </a:extLst>
        </xdr:cNvPr>
        <xdr:cNvSpPr txBox="1"/>
      </xdr:nvSpPr>
      <xdr:spPr>
        <a:xfrm>
          <a:off x="8382000" y="2221230"/>
          <a:ext cx="64863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</a:rPr>
            <a:t>5.0%</a:t>
          </a:r>
        </a:p>
      </xdr:txBody>
    </xdr:sp>
    <xdr:clientData/>
  </xdr:oneCellAnchor>
  <xdr:twoCellAnchor>
    <xdr:from>
      <xdr:col>13</xdr:col>
      <xdr:colOff>390525</xdr:colOff>
      <xdr:row>13</xdr:row>
      <xdr:rowOff>114299</xdr:rowOff>
    </xdr:from>
    <xdr:to>
      <xdr:col>14</xdr:col>
      <xdr:colOff>247650</xdr:colOff>
      <xdr:row>15</xdr:row>
      <xdr:rowOff>28574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510A05F1-CBF1-476F-A99F-CF3034B3E491}"/>
            </a:ext>
          </a:extLst>
        </xdr:cNvPr>
        <xdr:cNvSpPr/>
      </xdr:nvSpPr>
      <xdr:spPr>
        <a:xfrm>
          <a:off x="8317230" y="2466974"/>
          <a:ext cx="461010" cy="27432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314325</xdr:colOff>
      <xdr:row>8</xdr:row>
      <xdr:rowOff>104775</xdr:rowOff>
    </xdr:from>
    <xdr:to>
      <xdr:col>13</xdr:col>
      <xdr:colOff>390526</xdr:colOff>
      <xdr:row>15</xdr:row>
      <xdr:rowOff>161925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94EE729-E72D-40D2-B679-A1B8A3E0C80C}"/>
            </a:ext>
          </a:extLst>
        </xdr:cNvPr>
        <xdr:cNvSpPr/>
      </xdr:nvSpPr>
      <xdr:spPr>
        <a:xfrm>
          <a:off x="8241030" y="1550670"/>
          <a:ext cx="76201" cy="132778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9525</xdr:rowOff>
    </xdr:from>
    <xdr:to>
      <xdr:col>8</xdr:col>
      <xdr:colOff>304800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FD706-FAED-4C74-AE68-A477D5168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29ABCC-81DF-40F6-ABAE-84B3ABAF3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4C6CA8-676D-4523-9AAC-CF63A583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0BAE2E-1EDA-43ED-95EE-B34BA7D39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940451-63D0-4467-B2AC-655D236B2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3B54FA-9291-45AB-A8FE-0078B17AC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4B4E6-817B-4B12-A089-BFDD6DC21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491D3A-93E4-45B5-AA96-3D94455DD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A095D-293D-48C1-9C98-9BF5C2473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54A7E5-B34C-4DA8-9213-8FFC33386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15</xdr:col>
      <xdr:colOff>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623F4E-FDF4-445E-83DA-7D8B205D3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3</xdr:row>
      <xdr:rowOff>0</xdr:rowOff>
    </xdr:from>
    <xdr:to>
      <xdr:col>7</xdr:col>
      <xdr:colOff>581024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C232-B640-4A9D-8382-F261E9889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C034C1-2F90-4101-99AB-5A70828B2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13</xdr:col>
      <xdr:colOff>304800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0D57D-471F-4FF6-B73F-684E77A04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100965</xdr:colOff>
      <xdr:row>10</xdr:row>
      <xdr:rowOff>49530</xdr:rowOff>
    </xdr:from>
    <xdr:to>
      <xdr:col>19</xdr:col>
      <xdr:colOff>291465</xdr:colOff>
      <xdr:row>24</xdr:row>
      <xdr:rowOff>116205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41955E-C597-4550-973C-33544FDF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5</xdr:row>
      <xdr:rowOff>0</xdr:rowOff>
    </xdr:from>
    <xdr:to>
      <xdr:col>7</xdr:col>
      <xdr:colOff>581024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844675-A65C-448D-AE27-A16247113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47BCFB-7DA8-45CE-BE91-8AE573B15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24566</xdr:rowOff>
    </xdr:from>
    <xdr:to>
      <xdr:col>28</xdr:col>
      <xdr:colOff>333375</xdr:colOff>
      <xdr:row>50</xdr:row>
      <xdr:rowOff>150656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2782550" y="220781"/>
          <a:ext cx="5989320" cy="9931125"/>
          <a:chOff x="1300" y="22"/>
          <a:chExt cx="611" cy="842"/>
        </a:xfrm>
      </xdr:grpSpPr>
      <xdr:grpSp>
        <xdr:nvGrpSpPr>
          <xdr:cNvPr id="3" name="Group 1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1300" y="22"/>
            <a:ext cx="611" cy="842"/>
            <a:chOff x="1285" y="21"/>
            <a:chExt cx="611" cy="842"/>
          </a:xfrm>
        </xdr:grpSpPr>
        <xdr:graphicFrame macro="">
          <xdr:nvGraphicFramePr>
            <xdr:cNvPr id="5" name="Chart 9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1285" y="21"/>
            <a:ext cx="610" cy="40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10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>
              <a:graphicFrameLocks/>
            </xdr:cNvGraphicFramePr>
          </xdr:nvGraphicFramePr>
          <xdr:xfrm>
            <a:off x="1285" y="443"/>
            <a:ext cx="611" cy="41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Line 11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09" y="426"/>
              <a:ext cx="0" cy="43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345" y="825"/>
            <a:ext cx="1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</xdr:row>
      <xdr:rowOff>9525</xdr:rowOff>
    </xdr:from>
    <xdr:to>
      <xdr:col>13</xdr:col>
      <xdr:colOff>333375</xdr:colOff>
      <xdr:row>40</xdr:row>
      <xdr:rowOff>66675</xdr:rowOff>
    </xdr:to>
    <xdr:grpSp>
      <xdr:nvGrpSpPr>
        <xdr:cNvPr id="8" name="Group 2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3124200" y="211455"/>
          <a:ext cx="5989320" cy="7854315"/>
          <a:chOff x="324" y="96"/>
          <a:chExt cx="611" cy="825"/>
        </a:xfrm>
      </xdr:grpSpPr>
      <xdr:grpSp>
        <xdr:nvGrpSpPr>
          <xdr:cNvPr id="9" name="Group 25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GrpSpPr>
            <a:grpSpLocks/>
          </xdr:cNvGrpSpPr>
        </xdr:nvGrpSpPr>
        <xdr:grpSpPr bwMode="auto">
          <a:xfrm>
            <a:off x="324" y="96"/>
            <a:ext cx="611" cy="825"/>
            <a:chOff x="324" y="96"/>
            <a:chExt cx="611" cy="825"/>
          </a:xfrm>
        </xdr:grpSpPr>
        <xdr:graphicFrame macro="">
          <xdr:nvGraphicFramePr>
            <xdr:cNvPr id="11" name="Chart 26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aphicFramePr>
              <a:graphicFrameLocks/>
            </xdr:cNvGraphicFramePr>
          </xdr:nvGraphicFramePr>
          <xdr:xfrm>
            <a:off x="324" y="96"/>
            <a:ext cx="610" cy="40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2" name="Chart 27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aphicFramePr>
              <a:graphicFrameLocks/>
            </xdr:cNvGraphicFramePr>
          </xdr:nvGraphicFramePr>
          <xdr:xfrm>
            <a:off x="324" y="515"/>
            <a:ext cx="611" cy="4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13" name="Line 28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461"/>
              <a:ext cx="0" cy="4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" name="Line 2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51" y="311"/>
            <a:ext cx="0" cy="1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0.09817</cdr:x>
      <cdr:y>0.7958</cdr:y>
    </cdr:from>
    <cdr:to>
      <cdr:x>0.36745</cdr:x>
      <cdr:y>0.7958</cdr:y>
    </cdr:to>
    <cdr:sp macro="" textlink="">
      <cdr:nvSpPr>
        <cdr:cNvPr id="1003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5466" y="3088230"/>
          <a:ext cx="156969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11</xdr:col>
      <xdr:colOff>304800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7</xdr:row>
      <xdr:rowOff>152400</xdr:rowOff>
    </xdr:from>
    <xdr:to>
      <xdr:col>8</xdr:col>
      <xdr:colOff>438150</xdr:colOff>
      <xdr:row>7</xdr:row>
      <xdr:rowOff>152400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3429000" y="1485900"/>
          <a:ext cx="1885950" cy="0"/>
        </a:xfrm>
        <a:prstGeom prst="straightConnector1">
          <a:avLst/>
        </a:prstGeom>
        <a:ln w="25400">
          <a:solidFill>
            <a:schemeClr val="accent5">
              <a:lumMod val="75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9</xdr:row>
      <xdr:rowOff>38100</xdr:rowOff>
    </xdr:from>
    <xdr:to>
      <xdr:col>7</xdr:col>
      <xdr:colOff>438150</xdr:colOff>
      <xdr:row>9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3429000" y="1752600"/>
          <a:ext cx="1276350" cy="0"/>
        </a:xfrm>
        <a:prstGeom prst="straightConnector1">
          <a:avLst/>
        </a:prstGeom>
        <a:ln w="254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11</xdr:row>
      <xdr:rowOff>152400</xdr:rowOff>
    </xdr:from>
    <xdr:to>
      <xdr:col>8</xdr:col>
      <xdr:colOff>438150</xdr:colOff>
      <xdr:row>11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3429000" y="2247900"/>
          <a:ext cx="1885950" cy="0"/>
        </a:xfrm>
        <a:prstGeom prst="straightConnector1">
          <a:avLst/>
        </a:prstGeom>
        <a:ln w="25400">
          <a:solidFill>
            <a:schemeClr val="accent5">
              <a:lumMod val="75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13</xdr:row>
      <xdr:rowOff>66675</xdr:rowOff>
    </xdr:from>
    <xdr:to>
      <xdr:col>7</xdr:col>
      <xdr:colOff>438150</xdr:colOff>
      <xdr:row>13</xdr:row>
      <xdr:rowOff>66675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3429000" y="2543175"/>
          <a:ext cx="1276350" cy="0"/>
        </a:xfrm>
        <a:prstGeom prst="straightConnector1">
          <a:avLst/>
        </a:prstGeom>
        <a:ln w="254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5</xdr:row>
      <xdr:rowOff>47625</xdr:rowOff>
    </xdr:from>
    <xdr:to>
      <xdr:col>6</xdr:col>
      <xdr:colOff>28575</xdr:colOff>
      <xdr:row>15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3686175" y="1000125"/>
          <a:ext cx="0" cy="2028825"/>
        </a:xfrm>
        <a:prstGeom prst="line">
          <a:avLst/>
        </a:prstGeom>
        <a:ln w="50800"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</xdr:row>
      <xdr:rowOff>19050</xdr:rowOff>
    </xdr:from>
    <xdr:to>
      <xdr:col>9</xdr:col>
      <xdr:colOff>28575</xdr:colOff>
      <xdr:row>15</xdr:row>
      <xdr:rowOff>142875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5514975" y="971550"/>
          <a:ext cx="0" cy="2028825"/>
        </a:xfrm>
        <a:prstGeom prst="line">
          <a:avLst/>
        </a:prstGeom>
        <a:ln w="50800"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2017\Practice%20Questions\T2\t2.7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Harper\Documents\_xls\_2009\2a\distribution_cas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Harper/Documents/_xls/_2009/2a/distribution_case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XLS\T2\T2.324.%20T2.d%202012%20XLS%20bundle_volatility_v09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XLS\T2\R13-P1-T2-Ch4-distributions-v1.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XLS\T2\R13-P1-T2-Ch4-distributions-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bt-content-shared\FRM\FRM%202012\XLS\T4\T4.a_2012_XLS_bundle_valueatrisk_v10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XLS\T2\T2-QA4_to_QA6-stat2\T2-QA4_to_QA6-stat2-v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adriel\shared\My%20Documents\ISMA\Workshops%20and%20Exercises\VolatilityExercises\Implied%20Volatility%20Exercis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bt-content-shared\FRM\FRM%202012\XLS\T2\T2.a%202012%20XLS%20bundle_distributions_v09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bt-content-shared/FRM/FRM%202012/XLS/T2/T2.a%202012%20XLS%20bundle_distributions_v09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XLS\T5\t5.207%20backtest%20va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rrela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adriel\shared\Data%20and%20Programs\Orthogonal%20GARCH\equities\asymmetric%20garc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adriel\shared\My%20Documents\Book%20Figures\Figs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arch\FRM%202013\Practice%20Questions\T7\T7.302_lva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dh-library\_xls\_2009\2c\2.c.3.%20Rachev%20EVT_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dh-library/_xls/_2009/2c/2.c.3.%20Rachev%20EVT_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dh-library/_xls/_2009/5d/5.d.2.Dowd_EV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dh-library\_xls\_2009\2c\2.c.3.%20Rachev%20EV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dh-library/_xls/_2009/2c/2.c.3.%20Rachev%20EV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Harper/Documents/_xls/_2009/2c/2.c.3.%20Rachev%20EV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dh-library\_xls\_2009\2a\2_a_9_OLS_test_summar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2017\XLS\T2\R14-P1-T2-StockWatson-v7-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avid%20Harper\My%20Documents\0_FRM\XLS\Greek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bt-content-shared\FRM\arch\FRM%202012\XLS\T2\T2.c%202012%20XLS%20bundle_Rachev_MCS_v090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bt-content-shared\FRM%202011\xls\2quantitative\2.c.2.jorion_mc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arch\FRM%202013\Practice%20Questions\T2\t2.318_moment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dh-library/_xls/_2009/2c/Distribution_Mas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arol\My%20Documents\My%20Work\Books\MarketModels_1stEdition\CD\Colour%20Figures\Figs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XLS\T2\T2.8.4_Distribution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bt-content-shared\FRM\FRM%202011\xls\2quantitative\2.c.1.rachev_distribution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dh-library/_xls/_2009/2c/2.c.1.%20Rachev%20distribution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\Dropbox\dh-library\_xls\_2009\2c\2.c.1.%20Rachev%20distribution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bt-content-shared/FRM/FRM%202011/xls/2quantitative/2.c.1.rachev_distribution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adriel\shared\My%20Documents\Book\Fig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Harper\Documents\_xls\_2009\2b\2.b.4.%20Correlated%20vars%20(Cholesky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yCarter\CeriFi%20BionicTurtle%20Dropbox\Clay%20Carter\bt-collaboration\Clay\XLS%20Updates\P1-Topic%202\T2-QA1_to_QA3-stat1\XLS%20to%20add%20for%20QA%201,%202,%204,%205,%206,%207\XLS%20used%20in%20videos%20(QA%201,%202,%204,%205,%206,%207)%201.1.xlsm" TargetMode="External"/><Relationship Id="rId1" Type="http://schemas.openxmlformats.org/officeDocument/2006/relationships/externalLinkPath" Target="XLS%20to%20add%20for%20QA%201,%202,%204,%205,%206,%207/XLS%20used%20in%20videos%20(QA%201,%202,%204,%205,%206,%207)%201.1.xlsm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XLS%20for%20videos\T2-QA1_to_QA3-stat1-v2.2%20(1).xlsx" TargetMode="External"/><Relationship Id="rId1" Type="http://schemas.openxmlformats.org/officeDocument/2006/relationships/externalLinkPath" Target="/Users/User/Desktop/XLS%20for%20videos/T2-QA1_to_QA3-stat1-v2.2%20(1)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XLS%20for%20videos\Normal%20with%20CDF.xlsx" TargetMode="External"/><Relationship Id="rId1" Type="http://schemas.openxmlformats.org/officeDocument/2006/relationships/externalLinkPath" Target="/Users/User/Desktop/XLS%20for%20videos/Normal%20with%20C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06.1"/>
      <sheetName val="706.2"/>
      <sheetName val="706.3"/>
      <sheetName val="EWMA"/>
      <sheetName val="GARCH"/>
      <sheetName val="503.1"/>
      <sheetName val="Jorion 12.4.1."/>
      <sheetName val="504.3"/>
    </sheetNames>
    <sheetDataSet>
      <sheetData sheetId="0">
        <row r="12">
          <cell r="G12">
            <v>-8.8000000000000007</v>
          </cell>
        </row>
      </sheetData>
      <sheetData sheetId="1">
        <row r="5">
          <cell r="D5">
            <v>0.7</v>
          </cell>
          <cell r="E5">
            <v>0.12</v>
          </cell>
        </row>
        <row r="6">
          <cell r="D6">
            <v>1</v>
          </cell>
        </row>
      </sheetData>
      <sheetData sheetId="2"/>
      <sheetData sheetId="3"/>
      <sheetData sheetId="4"/>
      <sheetData sheetId="5"/>
      <sheetData sheetId="6">
        <row r="3">
          <cell r="D3">
            <v>0.75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ster"/>
      <sheetName val="Normal (2)"/>
      <sheetName val="chi-square"/>
      <sheetName val="F"/>
      <sheetName val="Normal"/>
      <sheetName val="student's t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28</v>
          </cell>
          <cell r="F13">
            <v>20</v>
          </cell>
          <cell r="G13">
            <v>10</v>
          </cell>
          <cell r="H13">
            <v>10</v>
          </cell>
          <cell r="I13">
            <v>10</v>
          </cell>
          <cell r="J13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ster"/>
      <sheetName val="Normal (2)"/>
      <sheetName val="chi-square"/>
      <sheetName val="F"/>
      <sheetName val="Normal"/>
      <sheetName val="student's t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28</v>
          </cell>
          <cell r="F13">
            <v>20</v>
          </cell>
          <cell r="G13">
            <v>10</v>
          </cell>
          <cell r="H13">
            <v>10</v>
          </cell>
          <cell r="I13">
            <v>10</v>
          </cell>
          <cell r="J13">
            <v>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4.1"/>
      <sheetName val="324.2"/>
      <sheetName val="324.3"/>
      <sheetName val="324.3_not"/>
      <sheetName val="TOC"/>
      <sheetName val="2d.2 Volatility Practice Bag"/>
      <sheetName val="2d.1 GARCH_1_1"/>
      <sheetName val="2d.1 MLE"/>
      <sheetName val="2d.1 Allen's Hybrid"/>
      <sheetName val="2d.1 GOOG_Hybrid"/>
      <sheetName val="2d.1 Compare Volatiliti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0.1</v>
          </cell>
        </row>
        <row r="5">
          <cell r="D5">
            <v>0.8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nomial"/>
      <sheetName val="Poisson"/>
      <sheetName val="normal_"/>
      <sheetName val="lognormal"/>
      <sheetName val="chi-squared"/>
      <sheetName val="students-t"/>
      <sheetName val="F-distr"/>
      <sheetName val="triangular"/>
      <sheetName val="beta"/>
      <sheetName val="normal-mixture"/>
      <sheetName val="8.4. Normal_binomial_Poisson"/>
      <sheetName val="pdf_CDF"/>
      <sheetName val="pdf_CDF_source"/>
      <sheetName val="Fig_I.3.2"/>
      <sheetName val="T5.207.1"/>
      <sheetName val="normal (2)"/>
      <sheetName val="tinv (2)"/>
      <sheetName val="309.2"/>
      <sheetName val="TOC (2)"/>
      <sheetName val="8.4. Normal Mixture"/>
      <sheetName val="M. normal pdf (M = Miller)"/>
      <sheetName val="M. normal CDF"/>
      <sheetName val="M. normal cdf inverse"/>
      <sheetName val="M. code, normal"/>
      <sheetName val="M. uniform &gt; Bernouilli"/>
      <sheetName val="8.4. Exponential"/>
      <sheetName val="8.4 Exponential &amp; Poisson"/>
      <sheetName val="8.4. Weibull"/>
      <sheetName val=" 8.4 gamma"/>
      <sheetName val="8.4 Beta"/>
      <sheetName val="8.4 Lognormal"/>
      <sheetName val="8.4 Logistic"/>
      <sheetName val="8.4. EVT GPD &amp; GEV"/>
      <sheetName val="2c.1 Rachev Poisson_Exponential"/>
      <sheetName val="2a.3 SampleDists (chi^2) (2)"/>
      <sheetName val="2a.3. SampleDists (F exampl (2)"/>
      <sheetName val="405.3_f_lookup"/>
      <sheetName val="chi^s lookuptable"/>
      <sheetName val="406.1_chi-square"/>
      <sheetName val="TOC"/>
      <sheetName val="2a.1 SkewKurt (ex ante)"/>
      <sheetName val="2a.1 SkewKurt (GOOG)"/>
      <sheetName val="2a.2 bivariatePDF"/>
      <sheetName val="2a.3 SamplingDists"/>
      <sheetName val="2a.3. SampleDists (sample mean)"/>
      <sheetName val="2a.3 SampleDists (chi^2)"/>
      <sheetName val="2a.3 SampleDists (F)"/>
      <sheetName val="2a.3. SampleDists (t)"/>
      <sheetName val="2a.3. (chi^2 examples)"/>
      <sheetName val="2a.3. SampleDists (F examples)"/>
      <sheetName val="2a.3. (normal examples)"/>
      <sheetName val="NormalMixture"/>
      <sheetName val="317.1_student's t"/>
      <sheetName val="317.2"/>
      <sheetName val="normal"/>
      <sheetName val="tinv"/>
      <sheetName val="312.2"/>
      <sheetName val="312.1"/>
      <sheetName val="312.3"/>
      <sheetName val="Fig_I.3.13"/>
      <sheetName val="Fig_I.3.14"/>
      <sheetName val="318.3"/>
      <sheetName val="318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Continuous Density</v>
          </cell>
        </row>
      </sheetData>
      <sheetData sheetId="13"/>
      <sheetData sheetId="14"/>
      <sheetData sheetId="15"/>
      <sheetData sheetId="16"/>
      <sheetData sheetId="17">
        <row r="4">
          <cell r="B4">
            <v>1.1000000000000001</v>
          </cell>
        </row>
      </sheetData>
      <sheetData sheetId="18"/>
      <sheetData sheetId="19"/>
      <sheetData sheetId="20"/>
      <sheetData sheetId="21">
        <row r="5">
          <cell r="D5">
            <v>0.31938153000000002</v>
          </cell>
        </row>
        <row r="6">
          <cell r="D6">
            <v>-0.356563782</v>
          </cell>
        </row>
        <row r="7">
          <cell r="D7">
            <v>1.781477937</v>
          </cell>
        </row>
        <row r="8">
          <cell r="D8">
            <v>-1.8212559779999999</v>
          </cell>
        </row>
        <row r="9">
          <cell r="D9">
            <v>1.3302744289999999</v>
          </cell>
        </row>
        <row r="10">
          <cell r="D10">
            <v>0.23164190000000001</v>
          </cell>
        </row>
        <row r="11">
          <cell r="D11">
            <v>0.39894227999999998</v>
          </cell>
        </row>
      </sheetData>
      <sheetData sheetId="22">
        <row r="5">
          <cell r="D5">
            <v>-39.6968302866538</v>
          </cell>
        </row>
        <row r="6">
          <cell r="D6">
            <v>220.94609842452101</v>
          </cell>
        </row>
        <row r="7">
          <cell r="D7">
            <v>-275.92851044696903</v>
          </cell>
        </row>
        <row r="8">
          <cell r="D8">
            <v>138.357751867269</v>
          </cell>
        </row>
        <row r="9">
          <cell r="D9">
            <v>-30.664798066147199</v>
          </cell>
        </row>
        <row r="10">
          <cell r="D10">
            <v>2.5066282774592401</v>
          </cell>
        </row>
        <row r="11">
          <cell r="D11">
            <v>-54.476098798224101</v>
          </cell>
        </row>
        <row r="12">
          <cell r="D12">
            <v>161.58583685804101</v>
          </cell>
        </row>
        <row r="13">
          <cell r="D13">
            <v>-155.698979859887</v>
          </cell>
        </row>
        <row r="14">
          <cell r="D14">
            <v>66.801311887719706</v>
          </cell>
        </row>
        <row r="15">
          <cell r="D15">
            <v>-13.280681552885699</v>
          </cell>
        </row>
        <row r="16">
          <cell r="D16">
            <v>-7.78489400243029E-3</v>
          </cell>
        </row>
        <row r="17">
          <cell r="D17">
            <v>-0.32239645804113598</v>
          </cell>
        </row>
        <row r="18">
          <cell r="D18">
            <v>-2.4007582771618399</v>
          </cell>
        </row>
        <row r="19">
          <cell r="D19">
            <v>-2.5497325393437298</v>
          </cell>
        </row>
        <row r="20">
          <cell r="D20">
            <v>4.3746641414649696</v>
          </cell>
        </row>
        <row r="21">
          <cell r="D21">
            <v>2.93816398269878</v>
          </cell>
        </row>
        <row r="22">
          <cell r="D22">
            <v>7.7846957090414604E-3</v>
          </cell>
        </row>
        <row r="23">
          <cell r="D23">
            <v>0.32246712907003999</v>
          </cell>
        </row>
        <row r="24">
          <cell r="D24">
            <v>2.445134137143</v>
          </cell>
        </row>
        <row r="25">
          <cell r="D25">
            <v>3.7544086619074202</v>
          </cell>
        </row>
        <row r="26">
          <cell r="D26">
            <v>2.4250000000000001E-2</v>
          </cell>
        </row>
        <row r="27">
          <cell r="D27">
            <v>0.97575000000000001</v>
          </cell>
        </row>
      </sheetData>
      <sheetData sheetId="23"/>
      <sheetData sheetId="24">
        <row r="3">
          <cell r="E3">
            <v>0.2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E5">
            <v>4.4099999999999993E-2</v>
          </cell>
        </row>
        <row r="7">
          <cell r="E7">
            <v>60</v>
          </cell>
        </row>
        <row r="9">
          <cell r="E9">
            <v>134.99999999999997</v>
          </cell>
        </row>
      </sheetData>
      <sheetData sheetId="46"/>
      <sheetData sheetId="47">
        <row r="13">
          <cell r="E13">
            <v>28</v>
          </cell>
          <cell r="F13">
            <v>20</v>
          </cell>
          <cell r="G13">
            <v>10</v>
          </cell>
          <cell r="H13">
            <v>10</v>
          </cell>
          <cell r="I13">
            <v>10</v>
          </cell>
          <cell r="J13">
            <v>10</v>
          </cell>
        </row>
        <row r="14">
          <cell r="E14">
            <v>27</v>
          </cell>
          <cell r="F14">
            <v>19</v>
          </cell>
          <cell r="G14">
            <v>9</v>
          </cell>
          <cell r="H14">
            <v>9</v>
          </cell>
          <cell r="I14">
            <v>9</v>
          </cell>
          <cell r="J14">
            <v>9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f_CDF"/>
      <sheetName val="pdf_CDF_source"/>
      <sheetName val="Fig_I.3.2"/>
      <sheetName val="normal (2)"/>
      <sheetName val="tinv (2)"/>
      <sheetName val="309.2"/>
      <sheetName val="TOC (2)"/>
      <sheetName val="8.4. Normal Mixture"/>
      <sheetName val="8.4. Normal_binomial_Poisson"/>
      <sheetName val="M. normal pdf (M = Miller)"/>
      <sheetName val="M. normal CDF"/>
      <sheetName val="M. normal cdf inverse"/>
      <sheetName val="M. code, normal"/>
      <sheetName val="M. uniform &gt; Bernouilli"/>
      <sheetName val="8.4. Exponential"/>
      <sheetName val="8.4 Exponential &amp; Poisson"/>
      <sheetName val="8.4. Weibull"/>
      <sheetName val=" 8.4 gamma"/>
      <sheetName val="8.4 Beta"/>
      <sheetName val="8.4 Lognormal"/>
      <sheetName val="8.4 Logistic"/>
      <sheetName val="8.4. EVT GPD &amp; GEV"/>
      <sheetName val="2c.1 Rachev Poisson_Exponential"/>
      <sheetName val="2a.3 SampleDists (chi^2) (2)"/>
      <sheetName val="2a.3. SampleDists (F exampl (2)"/>
      <sheetName val="405.3_f_lookup"/>
      <sheetName val="chi^s lookuptable"/>
      <sheetName val="406.1_chi-square"/>
      <sheetName val="TOC"/>
      <sheetName val="2a.1 SkewKurt (ex ante)"/>
      <sheetName val="2a.1 SkewKurt (GOOG)"/>
      <sheetName val="2a.2 bivariatePDF"/>
      <sheetName val="2a.3 SamplingDists"/>
      <sheetName val="2a.3. SampleDists (sample mean)"/>
      <sheetName val="2a.3 SampleDists (chi^2)"/>
      <sheetName val="2a.3 SampleDists (F)"/>
      <sheetName val="2a.3. SampleDists (t)"/>
      <sheetName val="2a.3. (chi^2 examples)"/>
      <sheetName val="2a.3. SampleDists (F examples)"/>
      <sheetName val="2a.3. (normal examples)"/>
      <sheetName val="NormalMixture"/>
      <sheetName val="317.1_student's t"/>
      <sheetName val="317.2"/>
      <sheetName val="normal"/>
      <sheetName val="tinv"/>
      <sheetName val="312.2"/>
      <sheetName val="312.1"/>
      <sheetName val="312.3"/>
      <sheetName val="Fig_I.3.13"/>
      <sheetName val="Fig_I.3.14"/>
      <sheetName val="318.3"/>
      <sheetName val="318.1"/>
      <sheetName val="Poisson"/>
      <sheetName val="binomial"/>
      <sheetName val="T5.207.1"/>
    </sheetNames>
    <sheetDataSet>
      <sheetData sheetId="0"/>
      <sheetData sheetId="1">
        <row r="1">
          <cell r="B1" t="str">
            <v>Continuous Density</v>
          </cell>
        </row>
      </sheetData>
      <sheetData sheetId="2"/>
      <sheetData sheetId="3"/>
      <sheetData sheetId="4"/>
      <sheetData sheetId="5">
        <row r="4">
          <cell r="B4">
            <v>1.1000000000000001</v>
          </cell>
        </row>
        <row r="5">
          <cell r="B5">
            <v>0.90909090909090906</v>
          </cell>
        </row>
      </sheetData>
      <sheetData sheetId="6"/>
      <sheetData sheetId="7"/>
      <sheetData sheetId="8"/>
      <sheetData sheetId="9"/>
      <sheetData sheetId="10">
        <row r="5">
          <cell r="D5">
            <v>0.31938153000000002</v>
          </cell>
        </row>
        <row r="6">
          <cell r="D6">
            <v>-0.356563782</v>
          </cell>
        </row>
        <row r="7">
          <cell r="D7">
            <v>1.781477937</v>
          </cell>
        </row>
        <row r="8">
          <cell r="D8">
            <v>-1.8212559779999999</v>
          </cell>
        </row>
        <row r="9">
          <cell r="D9">
            <v>1.3302744289999999</v>
          </cell>
        </row>
        <row r="10">
          <cell r="D10">
            <v>0.23164190000000001</v>
          </cell>
        </row>
        <row r="11">
          <cell r="D11">
            <v>0.39894227999999998</v>
          </cell>
        </row>
      </sheetData>
      <sheetData sheetId="11">
        <row r="5">
          <cell r="D5">
            <v>-39.6968302866538</v>
          </cell>
        </row>
        <row r="6">
          <cell r="D6">
            <v>220.94609842452101</v>
          </cell>
        </row>
        <row r="7">
          <cell r="D7">
            <v>-275.92851044696903</v>
          </cell>
        </row>
        <row r="8">
          <cell r="D8">
            <v>138.357751867269</v>
          </cell>
        </row>
        <row r="9">
          <cell r="D9">
            <v>-30.664798066147199</v>
          </cell>
        </row>
        <row r="10">
          <cell r="D10">
            <v>2.5066282774592401</v>
          </cell>
        </row>
        <row r="11">
          <cell r="D11">
            <v>-54.476098798224101</v>
          </cell>
        </row>
        <row r="12">
          <cell r="D12">
            <v>161.58583685804101</v>
          </cell>
        </row>
        <row r="13">
          <cell r="D13">
            <v>-155.698979859887</v>
          </cell>
        </row>
        <row r="14">
          <cell r="D14">
            <v>66.801311887719706</v>
          </cell>
        </row>
        <row r="15">
          <cell r="D15">
            <v>-13.280681552885699</v>
          </cell>
        </row>
        <row r="16">
          <cell r="D16">
            <v>-7.78489400243029E-3</v>
          </cell>
        </row>
        <row r="17">
          <cell r="D17">
            <v>-0.32239645804113598</v>
          </cell>
        </row>
        <row r="18">
          <cell r="D18">
            <v>-2.4007582771618399</v>
          </cell>
        </row>
        <row r="19">
          <cell r="D19">
            <v>-2.5497325393437298</v>
          </cell>
        </row>
        <row r="20">
          <cell r="D20">
            <v>4.3746641414649696</v>
          </cell>
        </row>
        <row r="21">
          <cell r="D21">
            <v>2.93816398269878</v>
          </cell>
        </row>
        <row r="22">
          <cell r="D22">
            <v>7.7846957090414604E-3</v>
          </cell>
        </row>
        <row r="23">
          <cell r="D23">
            <v>0.32246712907003999</v>
          </cell>
        </row>
        <row r="24">
          <cell r="D24">
            <v>2.445134137143</v>
          </cell>
        </row>
        <row r="25">
          <cell r="D25">
            <v>3.7544086619074202</v>
          </cell>
        </row>
        <row r="26">
          <cell r="D26">
            <v>2.4250000000000001E-2</v>
          </cell>
        </row>
        <row r="27">
          <cell r="D27">
            <v>0.97575000000000001</v>
          </cell>
        </row>
      </sheetData>
      <sheetData sheetId="12"/>
      <sheetData sheetId="13">
        <row r="3">
          <cell r="E3">
            <v>0.2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4a.1 2AssetVaR"/>
      <sheetName val="4a.1 Jorion T15.6"/>
      <sheetName val="4a.1 CoVaR matrix"/>
      <sheetName val="4a.2 Taylor with option"/>
      <sheetName val="4a.3 Structured MCS"/>
      <sheetName val="4a.3 Cholesky Decomposition"/>
      <sheetName val="4a.4 LAllen_p61_returnaggregate"/>
    </sheetNames>
    <sheetDataSet>
      <sheetData sheetId="0"/>
      <sheetData sheetId="1">
        <row r="5">
          <cell r="D5">
            <v>10</v>
          </cell>
        </row>
        <row r="6">
          <cell r="D6">
            <v>0.95</v>
          </cell>
        </row>
        <row r="11">
          <cell r="D11">
            <v>0.5</v>
          </cell>
        </row>
        <row r="18">
          <cell r="D18">
            <v>0.25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QA4-bivar PMF (trinomial)"/>
      <sheetName val="QA4-prob-matrix-YT-20171204"/>
      <sheetName val="QA4-Covariance (BitCoin &amp; Gold)"/>
      <sheetName val="QA4-covariance-bitcoin&amp;gold-ex2"/>
      <sheetName val="QA4-2asset-MinVarPort"/>
      <sheetName val="QA1-Prob Matrix (vGARP)"/>
      <sheetName val="QA4-matrix1"/>
      <sheetName val="QA4-matrix2"/>
      <sheetName val="QA5- variances-pop"/>
      <sheetName val="QA5- variances-sample"/>
      <sheetName val="QA5-10d-sample-vol"/>
      <sheetName val="QA5-kurt-skew"/>
      <sheetName val="QA5-Variancee (YT 121117)"/>
      <sheetName val="QA5-Skew (yt-121317)"/>
      <sheetName val="QA5-kurtosis-(yt-121817+Sim)"/>
      <sheetName val="QA5-BLUE mean"/>
      <sheetName val="QA5-covar-122017-yt"/>
      <sheetName val="8.2. Standard Normal pdf CD (2)"/>
      <sheetName val="122017-yt-covariance"/>
      <sheetName val="Miller EOC Prob 6"/>
      <sheetName val="Skew &amp; Kurt"/>
      <sheetName val="QA6-HypoTest-Miller-EOC_#1"/>
      <sheetName val="QA6-HypoTest-Miller-EOC_#2"/>
      <sheetName val="lookup_Z"/>
      <sheetName val="lookup_t"/>
      <sheetName val="QA6-bt_209.1_defaults"/>
      <sheetName val="QA6-BT_209.2_returns"/>
      <sheetName val="QA6-BT_209.3_Poisson"/>
      <sheetName val="Type1_vs_Type2"/>
      <sheetName val="CI_BT-SN"/>
      <sheetName val="CI_GARP"/>
      <sheetName val="CI"/>
      <sheetName val="p-value (YT-0305)"/>
      <sheetName val="T1 error (YT-0312)"/>
      <sheetName val="T2 error (YT-0312)"/>
      <sheetName val="Variance-CI &amp; significance"/>
      <sheetName val="5.2 F Distribution Applied"/>
      <sheetName val="DifferenceBetweenMeans"/>
      <sheetName val="DifferenceBetweenMeans (2)"/>
      <sheetName val="Chebyshev's"/>
      <sheetName val="Backtesting-VaR"/>
      <sheetName val="arch"/>
      <sheetName val="YT-010818-Miller-EOC-#2"/>
      <sheetName val="YT-011018-Variance-CI &amp; sig"/>
      <sheetName val="5.2 Sampling Distributions"/>
      <sheetName val="5.2 Sample Dist (Chi^2)"/>
      <sheetName val="5.2. Chi^2 Applied"/>
      <sheetName val="5.2 Sample Dists (F dist)"/>
      <sheetName val="5.3. Student's T applied"/>
      <sheetName val="5.3. Normal Applied"/>
      <sheetName val="122017-yt-covariance (2)"/>
      <sheetName val="T2-QA4_to_QA6-stat2-v4"/>
    </sheetNames>
    <definedNames>
      <definedName name="bond_compute_handler" refersTo="#REF!"/>
      <definedName name="Bond_Display_Tree" refersTo="#REF!"/>
      <definedName name="bond_graph_handler" refersTo="#REF!"/>
      <definedName name="bond_graph_input_formatter" refersTo="#REF!"/>
      <definedName name="Bond_Option_Select" refersTo="#REF!"/>
      <definedName name="Cap_or_Swap_Option_Select" refersTo="#REF!"/>
      <definedName name="Cap_or_Swap_Select" refersTo="#REF!"/>
      <definedName name="Equity_compute_handler" refersTo="#REF!"/>
      <definedName name="Equity_Display_Tree" refersTo="#REF!"/>
      <definedName name="Equity_graph_handler" refersTo="#REF!"/>
      <definedName name="Equity_graph_input_formatter" refersTo="#REF!"/>
      <definedName name="Equity_Option_Select" refersTo="#REF!"/>
      <definedName name="Equity_Underlying_Select" refersTo="#REF!"/>
      <definedName name="swap_compute_handler" refersTo="#REF!"/>
      <definedName name="swap_graph_handler" refersTo="#REF!"/>
      <definedName name="swap_graph_input_formatter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ck-Scholes Term Structure"/>
      <sheetName val="Black-Scholes"/>
      <sheetName val="QQ plot"/>
      <sheetName val="Normal Mixture Option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2a.1 SkewKurt (ex ante)"/>
      <sheetName val="2a.1 SkewKurt (GOOG)"/>
      <sheetName val="2a.2 bivariatePDF"/>
      <sheetName val="2a.3 SamplingDists"/>
      <sheetName val="2a.3. SampleDists (sample mean)"/>
      <sheetName val="2a.3 SampleDists (chi^2)"/>
      <sheetName val="2a.3 SampleDists (F)"/>
      <sheetName val="2a.3. SampleDists (t)"/>
      <sheetName val="2a.3. (chi^2 examples)"/>
      <sheetName val="2a.3. SampleDists (F examples)"/>
      <sheetName val="2a.3. (normal example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>
            <v>16</v>
          </cell>
        </row>
        <row r="7">
          <cell r="E7">
            <v>19</v>
          </cell>
        </row>
        <row r="9">
          <cell r="E9">
            <v>33.777777777777779</v>
          </cell>
        </row>
      </sheetData>
      <sheetData sheetId="7" refreshError="1"/>
      <sheetData sheetId="8">
        <row r="13">
          <cell r="E13">
            <v>28</v>
          </cell>
          <cell r="F13">
            <v>20</v>
          </cell>
          <cell r="G13">
            <v>10</v>
          </cell>
          <cell r="H13">
            <v>10</v>
          </cell>
          <cell r="I13">
            <v>10</v>
          </cell>
          <cell r="J13">
            <v>10</v>
          </cell>
        </row>
        <row r="14">
          <cell r="E14">
            <v>27</v>
          </cell>
          <cell r="F14">
            <v>19</v>
          </cell>
          <cell r="G14">
            <v>9</v>
          </cell>
          <cell r="H14">
            <v>9</v>
          </cell>
          <cell r="I14">
            <v>9</v>
          </cell>
          <cell r="J14">
            <v>9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2a.1 SkewKurt (ex ante)"/>
      <sheetName val="2a.1 SkewKurt (GOOG)"/>
      <sheetName val="2a.2 bivariatePDF"/>
      <sheetName val="2a.3 SamplingDists"/>
      <sheetName val="2a.3. SampleDists (sample mean)"/>
      <sheetName val="2a.3 SampleDists (chi^2)"/>
      <sheetName val="2a.3 SampleDists (F)"/>
      <sheetName val="2a.3. SampleDists (t)"/>
      <sheetName val="2a.3. (chi^2 examples)"/>
      <sheetName val="2a.3. SampleDists (F examples)"/>
      <sheetName val="2a.3. (normal example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>
            <v>16</v>
          </cell>
        </row>
        <row r="7">
          <cell r="E7">
            <v>19</v>
          </cell>
        </row>
        <row r="9">
          <cell r="E9">
            <v>33.777777777777779</v>
          </cell>
        </row>
      </sheetData>
      <sheetData sheetId="7" refreshError="1"/>
      <sheetData sheetId="8">
        <row r="13">
          <cell r="E13">
            <v>28</v>
          </cell>
          <cell r="F13">
            <v>20</v>
          </cell>
          <cell r="G13">
            <v>10</v>
          </cell>
          <cell r="H13">
            <v>10</v>
          </cell>
          <cell r="I13">
            <v>10</v>
          </cell>
          <cell r="J13">
            <v>10</v>
          </cell>
        </row>
        <row r="14">
          <cell r="E14">
            <v>27</v>
          </cell>
          <cell r="F14">
            <v>19</v>
          </cell>
          <cell r="G14">
            <v>9</v>
          </cell>
          <cell r="H14">
            <v>9</v>
          </cell>
          <cell r="I14">
            <v>9</v>
          </cell>
          <cell r="J14">
            <v>9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rion_Ch6_Fig6.2"/>
      <sheetName val="Jorion_Ch6_JPMorganExceptions"/>
      <sheetName val="Table6-2"/>
      <sheetName val="Jorion_Ch6_Fig6.2 (2)"/>
    </sheetNames>
    <sheetDataSet>
      <sheetData sheetId="0"/>
      <sheetData sheetId="1">
        <row r="7">
          <cell r="C7">
            <v>0.99</v>
          </cell>
        </row>
      </sheetData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GARCH(1,1)"/>
      <sheetName val="GARCH(1,1)"/>
      <sheetName val="France"/>
      <sheetName val="Germany"/>
      <sheetName val="Japan"/>
      <sheetName val="UK"/>
      <sheetName val="US"/>
    </sheetNames>
    <sheetDataSet>
      <sheetData sheetId="0">
        <row r="1">
          <cell r="A1" t="str">
            <v>date</v>
          </cell>
          <cell r="J1" t="str">
            <v>France</v>
          </cell>
          <cell r="K1" t="str">
            <v>factor_France</v>
          </cell>
        </row>
        <row r="2">
          <cell r="A2">
            <v>29635</v>
          </cell>
          <cell r="J2">
            <v>36.119999999999997</v>
          </cell>
          <cell r="K2">
            <v>18.5871</v>
          </cell>
        </row>
        <row r="3">
          <cell r="A3">
            <v>29636</v>
          </cell>
          <cell r="J3">
            <v>36.119999999999997</v>
          </cell>
          <cell r="K3">
            <v>18.5871</v>
          </cell>
        </row>
        <row r="4">
          <cell r="A4">
            <v>29637</v>
          </cell>
          <cell r="J4">
            <v>36.119999999999997</v>
          </cell>
          <cell r="K4">
            <v>18.5871</v>
          </cell>
        </row>
        <row r="5">
          <cell r="A5">
            <v>29640</v>
          </cell>
          <cell r="J5">
            <v>32.93</v>
          </cell>
          <cell r="K5">
            <v>17.635200000000001</v>
          </cell>
        </row>
        <row r="6">
          <cell r="A6">
            <v>29641</v>
          </cell>
          <cell r="J6">
            <v>30.15</v>
          </cell>
          <cell r="K6">
            <v>17.2563</v>
          </cell>
        </row>
        <row r="7">
          <cell r="A7">
            <v>29642</v>
          </cell>
          <cell r="J7">
            <v>28.38</v>
          </cell>
          <cell r="K7">
            <v>17.5672</v>
          </cell>
        </row>
        <row r="8">
          <cell r="A8">
            <v>29643</v>
          </cell>
          <cell r="J8">
            <v>26.13</v>
          </cell>
          <cell r="K8">
            <v>17.263200000000001</v>
          </cell>
        </row>
        <row r="9">
          <cell r="A9">
            <v>29644</v>
          </cell>
          <cell r="J9">
            <v>25.63</v>
          </cell>
          <cell r="K9">
            <v>17.754999999999999</v>
          </cell>
        </row>
        <row r="10">
          <cell r="A10">
            <v>29647</v>
          </cell>
          <cell r="J10">
            <v>23.77</v>
          </cell>
          <cell r="K10">
            <v>17.204899999999999</v>
          </cell>
        </row>
        <row r="11">
          <cell r="A11">
            <v>29648</v>
          </cell>
          <cell r="J11">
            <v>22.22</v>
          </cell>
          <cell r="K11">
            <v>16.864599999999999</v>
          </cell>
        </row>
        <row r="12">
          <cell r="A12">
            <v>29649</v>
          </cell>
          <cell r="J12">
            <v>23.63</v>
          </cell>
          <cell r="K12">
            <v>20.526599999999998</v>
          </cell>
        </row>
        <row r="13">
          <cell r="A13">
            <v>29650</v>
          </cell>
          <cell r="J13">
            <v>24.24</v>
          </cell>
          <cell r="K13">
            <v>21.106000000000002</v>
          </cell>
        </row>
        <row r="14">
          <cell r="A14">
            <v>29651</v>
          </cell>
          <cell r="J14">
            <v>22.48</v>
          </cell>
          <cell r="K14">
            <v>20.672000000000001</v>
          </cell>
        </row>
        <row r="15">
          <cell r="A15">
            <v>29654</v>
          </cell>
          <cell r="J15">
            <v>21.19</v>
          </cell>
          <cell r="K15">
            <v>22.084</v>
          </cell>
        </row>
        <row r="16">
          <cell r="A16">
            <v>29655</v>
          </cell>
          <cell r="J16">
            <v>21.14</v>
          </cell>
          <cell r="K16">
            <v>21.243300000000001</v>
          </cell>
        </row>
        <row r="17">
          <cell r="A17">
            <v>29656</v>
          </cell>
          <cell r="J17">
            <v>19.850000000000001</v>
          </cell>
          <cell r="K17">
            <v>20.265499999999999</v>
          </cell>
        </row>
        <row r="18">
          <cell r="A18">
            <v>29657</v>
          </cell>
          <cell r="J18">
            <v>18.68</v>
          </cell>
          <cell r="K18">
            <v>20.476900000000001</v>
          </cell>
        </row>
        <row r="19">
          <cell r="A19">
            <v>29658</v>
          </cell>
          <cell r="J19">
            <v>18</v>
          </cell>
          <cell r="K19">
            <v>21.230899999999998</v>
          </cell>
        </row>
        <row r="20">
          <cell r="A20">
            <v>29661</v>
          </cell>
          <cell r="J20">
            <v>17.22</v>
          </cell>
          <cell r="K20">
            <v>20.277100000000001</v>
          </cell>
        </row>
        <row r="21">
          <cell r="A21">
            <v>29662</v>
          </cell>
          <cell r="J21">
            <v>16.489999999999998</v>
          </cell>
          <cell r="K21">
            <v>19.34</v>
          </cell>
        </row>
        <row r="22">
          <cell r="A22">
            <v>29663</v>
          </cell>
          <cell r="J22">
            <v>16.329999999999998</v>
          </cell>
          <cell r="K22">
            <v>19.3322</v>
          </cell>
        </row>
        <row r="23">
          <cell r="A23">
            <v>29664</v>
          </cell>
          <cell r="J23">
            <v>16.27</v>
          </cell>
          <cell r="K23">
            <v>18.928000000000001</v>
          </cell>
        </row>
        <row r="24">
          <cell r="A24">
            <v>29665</v>
          </cell>
          <cell r="J24">
            <v>15.84</v>
          </cell>
          <cell r="K24">
            <v>18.639199999999999</v>
          </cell>
        </row>
        <row r="25">
          <cell r="A25">
            <v>29668</v>
          </cell>
          <cell r="J25">
            <v>16.64</v>
          </cell>
          <cell r="K25">
            <v>20.3935</v>
          </cell>
        </row>
        <row r="26">
          <cell r="A26">
            <v>29669</v>
          </cell>
          <cell r="J26">
            <v>17</v>
          </cell>
          <cell r="K26">
            <v>21.0517</v>
          </cell>
        </row>
        <row r="27">
          <cell r="A27">
            <v>29670</v>
          </cell>
          <cell r="J27">
            <v>17.03</v>
          </cell>
          <cell r="K27">
            <v>20.843599999999999</v>
          </cell>
        </row>
        <row r="28">
          <cell r="A28">
            <v>29671</v>
          </cell>
          <cell r="J28">
            <v>16.29</v>
          </cell>
          <cell r="K28">
            <v>20.064</v>
          </cell>
        </row>
        <row r="29">
          <cell r="A29">
            <v>29672</v>
          </cell>
          <cell r="J29">
            <v>15.75</v>
          </cell>
          <cell r="K29">
            <v>19.101800000000001</v>
          </cell>
        </row>
        <row r="30">
          <cell r="A30">
            <v>29675</v>
          </cell>
          <cell r="J30">
            <v>19.52</v>
          </cell>
          <cell r="K30">
            <v>22.6538</v>
          </cell>
        </row>
        <row r="31">
          <cell r="A31">
            <v>29676</v>
          </cell>
          <cell r="J31">
            <v>18.41</v>
          </cell>
          <cell r="K31">
            <v>21.900200000000002</v>
          </cell>
        </row>
        <row r="32">
          <cell r="A32">
            <v>29677</v>
          </cell>
          <cell r="J32">
            <v>17.57</v>
          </cell>
          <cell r="K32">
            <v>21.3218</v>
          </cell>
        </row>
        <row r="33">
          <cell r="A33">
            <v>29678</v>
          </cell>
          <cell r="J33">
            <v>17.05</v>
          </cell>
          <cell r="K33">
            <v>20.9239</v>
          </cell>
        </row>
        <row r="34">
          <cell r="A34">
            <v>29679</v>
          </cell>
          <cell r="J34">
            <v>19.239999999999998</v>
          </cell>
          <cell r="K34">
            <v>20.8826</v>
          </cell>
        </row>
        <row r="35">
          <cell r="A35">
            <v>29682</v>
          </cell>
          <cell r="J35">
            <v>23.21</v>
          </cell>
          <cell r="K35">
            <v>23.337700000000002</v>
          </cell>
        </row>
        <row r="36">
          <cell r="A36">
            <v>29683</v>
          </cell>
          <cell r="J36">
            <v>23.15</v>
          </cell>
          <cell r="K36">
            <v>24.763000000000002</v>
          </cell>
        </row>
        <row r="37">
          <cell r="A37">
            <v>29684</v>
          </cell>
          <cell r="J37">
            <v>21.52</v>
          </cell>
          <cell r="K37">
            <v>23.7986</v>
          </cell>
        </row>
        <row r="38">
          <cell r="A38">
            <v>29685</v>
          </cell>
          <cell r="J38">
            <v>21.24</v>
          </cell>
          <cell r="K38">
            <v>24.0061</v>
          </cell>
        </row>
        <row r="39">
          <cell r="A39">
            <v>29686</v>
          </cell>
          <cell r="J39">
            <v>19.920000000000002</v>
          </cell>
          <cell r="K39">
            <v>22.4068</v>
          </cell>
        </row>
        <row r="40">
          <cell r="A40">
            <v>29689</v>
          </cell>
          <cell r="J40">
            <v>19.43</v>
          </cell>
          <cell r="K40">
            <v>21.330300000000001</v>
          </cell>
        </row>
        <row r="41">
          <cell r="A41">
            <v>29690</v>
          </cell>
          <cell r="J41">
            <v>20.78</v>
          </cell>
          <cell r="K41">
            <v>24.209800000000001</v>
          </cell>
        </row>
        <row r="42">
          <cell r="A42">
            <v>29691</v>
          </cell>
          <cell r="J42">
            <v>19.489999999999998</v>
          </cell>
          <cell r="K42">
            <v>22.647200000000002</v>
          </cell>
        </row>
        <row r="43">
          <cell r="A43">
            <v>29692</v>
          </cell>
          <cell r="J43">
            <v>19.04</v>
          </cell>
          <cell r="K43">
            <v>21.310300000000002</v>
          </cell>
        </row>
        <row r="44">
          <cell r="A44">
            <v>29693</v>
          </cell>
          <cell r="J44">
            <v>21.31</v>
          </cell>
          <cell r="K44">
            <v>21.187999999999999</v>
          </cell>
        </row>
        <row r="45">
          <cell r="A45">
            <v>29696</v>
          </cell>
          <cell r="J45">
            <v>19.989999999999998</v>
          </cell>
          <cell r="K45">
            <v>19.9819</v>
          </cell>
        </row>
        <row r="46">
          <cell r="A46">
            <v>29697</v>
          </cell>
          <cell r="J46">
            <v>18.86</v>
          </cell>
          <cell r="K46">
            <v>18.880199999999999</v>
          </cell>
        </row>
        <row r="47">
          <cell r="A47">
            <v>29698</v>
          </cell>
          <cell r="J47">
            <v>17.91</v>
          </cell>
          <cell r="K47">
            <v>17.947600000000001</v>
          </cell>
        </row>
        <row r="48">
          <cell r="A48">
            <v>29699</v>
          </cell>
          <cell r="J48">
            <v>23.61</v>
          </cell>
          <cell r="K48">
            <v>19.969000000000001</v>
          </cell>
        </row>
        <row r="49">
          <cell r="A49">
            <v>29700</v>
          </cell>
          <cell r="J49">
            <v>21.92</v>
          </cell>
          <cell r="K49">
            <v>18.853999999999999</v>
          </cell>
        </row>
        <row r="50">
          <cell r="A50">
            <v>29703</v>
          </cell>
          <cell r="J50">
            <v>20.5</v>
          </cell>
          <cell r="K50">
            <v>17.962</v>
          </cell>
        </row>
        <row r="51">
          <cell r="A51">
            <v>29704</v>
          </cell>
          <cell r="J51">
            <v>26.11</v>
          </cell>
          <cell r="K51">
            <v>20.858499999999999</v>
          </cell>
        </row>
        <row r="52">
          <cell r="A52">
            <v>29705</v>
          </cell>
          <cell r="J52">
            <v>24.23</v>
          </cell>
          <cell r="K52">
            <v>21.093900000000001</v>
          </cell>
        </row>
        <row r="53">
          <cell r="A53">
            <v>29706</v>
          </cell>
          <cell r="J53">
            <v>28.88</v>
          </cell>
          <cell r="K53">
            <v>23.014199999999999</v>
          </cell>
        </row>
        <row r="54">
          <cell r="A54">
            <v>29707</v>
          </cell>
          <cell r="J54">
            <v>30.56</v>
          </cell>
          <cell r="K54">
            <v>23.171900000000001</v>
          </cell>
        </row>
        <row r="55">
          <cell r="A55">
            <v>29710</v>
          </cell>
          <cell r="J55">
            <v>28.04</v>
          </cell>
          <cell r="K55">
            <v>21.902899999999999</v>
          </cell>
        </row>
        <row r="56">
          <cell r="A56">
            <v>29711</v>
          </cell>
          <cell r="J56">
            <v>25.94</v>
          </cell>
          <cell r="K56">
            <v>24.289400000000001</v>
          </cell>
        </row>
        <row r="57">
          <cell r="A57">
            <v>29712</v>
          </cell>
          <cell r="J57">
            <v>24.18</v>
          </cell>
          <cell r="K57">
            <v>26.346800000000002</v>
          </cell>
        </row>
        <row r="58">
          <cell r="A58">
            <v>29713</v>
          </cell>
          <cell r="J58">
            <v>22.67</v>
          </cell>
          <cell r="K58">
            <v>24.740500000000001</v>
          </cell>
        </row>
        <row r="59">
          <cell r="A59">
            <v>29714</v>
          </cell>
          <cell r="J59">
            <v>22.62</v>
          </cell>
          <cell r="K59">
            <v>24.012699999999999</v>
          </cell>
        </row>
        <row r="60">
          <cell r="A60">
            <v>29717</v>
          </cell>
          <cell r="J60">
            <v>21.06</v>
          </cell>
          <cell r="K60">
            <v>22.532800000000002</v>
          </cell>
        </row>
        <row r="61">
          <cell r="A61">
            <v>29718</v>
          </cell>
          <cell r="J61">
            <v>22.78</v>
          </cell>
          <cell r="K61">
            <v>22.4939</v>
          </cell>
        </row>
        <row r="62">
          <cell r="A62">
            <v>29719</v>
          </cell>
          <cell r="J62">
            <v>49.04</v>
          </cell>
          <cell r="K62">
            <v>35.002800000000001</v>
          </cell>
        </row>
        <row r="63">
          <cell r="A63">
            <v>29720</v>
          </cell>
          <cell r="J63">
            <v>69.760000000000005</v>
          </cell>
          <cell r="K63">
            <v>47.984200000000001</v>
          </cell>
        </row>
        <row r="64">
          <cell r="A64">
            <v>29721</v>
          </cell>
          <cell r="J64">
            <v>63.59</v>
          </cell>
          <cell r="K64">
            <v>44.615600000000001</v>
          </cell>
        </row>
        <row r="65">
          <cell r="A65">
            <v>29724</v>
          </cell>
          <cell r="J65">
            <v>61.72</v>
          </cell>
          <cell r="K65">
            <v>43.7667</v>
          </cell>
        </row>
        <row r="66">
          <cell r="A66">
            <v>29725</v>
          </cell>
          <cell r="J66">
            <v>58.83</v>
          </cell>
          <cell r="K66">
            <v>42.176499999999997</v>
          </cell>
        </row>
        <row r="67">
          <cell r="A67">
            <v>29726</v>
          </cell>
          <cell r="J67">
            <v>53.28</v>
          </cell>
          <cell r="K67">
            <v>39.343899999999998</v>
          </cell>
        </row>
        <row r="68">
          <cell r="A68">
            <v>29727</v>
          </cell>
          <cell r="J68">
            <v>48.31</v>
          </cell>
          <cell r="K68">
            <v>38.383699999999997</v>
          </cell>
        </row>
        <row r="69">
          <cell r="A69">
            <v>29728</v>
          </cell>
          <cell r="J69">
            <v>44.75</v>
          </cell>
          <cell r="K69">
            <v>35.726100000000002</v>
          </cell>
        </row>
        <row r="70">
          <cell r="A70">
            <v>29731</v>
          </cell>
          <cell r="J70">
            <v>41.42</v>
          </cell>
          <cell r="K70">
            <v>34.7012</v>
          </cell>
        </row>
        <row r="71">
          <cell r="A71">
            <v>29732</v>
          </cell>
          <cell r="J71">
            <v>40.770000000000003</v>
          </cell>
          <cell r="K71">
            <v>34.155900000000003</v>
          </cell>
        </row>
        <row r="72">
          <cell r="A72">
            <v>29733</v>
          </cell>
          <cell r="J72">
            <v>37.200000000000003</v>
          </cell>
          <cell r="K72">
            <v>31.613399999999999</v>
          </cell>
        </row>
        <row r="73">
          <cell r="A73">
            <v>29734</v>
          </cell>
          <cell r="J73">
            <v>36</v>
          </cell>
          <cell r="K73">
            <v>30.364999999999998</v>
          </cell>
        </row>
        <row r="74">
          <cell r="A74">
            <v>29735</v>
          </cell>
          <cell r="J74">
            <v>32.83</v>
          </cell>
          <cell r="K74">
            <v>28.218299999999999</v>
          </cell>
        </row>
        <row r="75">
          <cell r="A75">
            <v>29738</v>
          </cell>
          <cell r="J75">
            <v>30.82</v>
          </cell>
          <cell r="K75">
            <v>27.0365</v>
          </cell>
        </row>
        <row r="76">
          <cell r="A76">
            <v>29739</v>
          </cell>
          <cell r="J76">
            <v>36.86</v>
          </cell>
          <cell r="K76">
            <v>29.230799999999999</v>
          </cell>
        </row>
        <row r="77">
          <cell r="A77">
            <v>29740</v>
          </cell>
          <cell r="J77">
            <v>40.64</v>
          </cell>
          <cell r="K77">
            <v>31.349599999999999</v>
          </cell>
        </row>
        <row r="78">
          <cell r="A78">
            <v>29741</v>
          </cell>
          <cell r="J78">
            <v>37.33</v>
          </cell>
          <cell r="K78">
            <v>29.536200000000001</v>
          </cell>
        </row>
        <row r="79">
          <cell r="A79">
            <v>29742</v>
          </cell>
          <cell r="J79">
            <v>38.340000000000003</v>
          </cell>
          <cell r="K79">
            <v>30.579699999999999</v>
          </cell>
        </row>
        <row r="80">
          <cell r="A80">
            <v>29745</v>
          </cell>
          <cell r="J80">
            <v>37.159999999999997</v>
          </cell>
          <cell r="K80">
            <v>31.4163</v>
          </cell>
        </row>
        <row r="81">
          <cell r="A81">
            <v>29746</v>
          </cell>
          <cell r="J81">
            <v>33.85</v>
          </cell>
          <cell r="K81">
            <v>29.0303</v>
          </cell>
        </row>
        <row r="82">
          <cell r="A82">
            <v>29747</v>
          </cell>
          <cell r="J82">
            <v>31.72</v>
          </cell>
          <cell r="K82">
            <v>27.151199999999999</v>
          </cell>
        </row>
        <row r="83">
          <cell r="A83">
            <v>29748</v>
          </cell>
          <cell r="J83">
            <v>36.92</v>
          </cell>
          <cell r="K83">
            <v>28.4556</v>
          </cell>
        </row>
        <row r="84">
          <cell r="A84">
            <v>29749</v>
          </cell>
          <cell r="J84">
            <v>37.92</v>
          </cell>
          <cell r="K84">
            <v>29.1158</v>
          </cell>
        </row>
        <row r="85">
          <cell r="A85">
            <v>29752</v>
          </cell>
          <cell r="J85">
            <v>37.340000000000003</v>
          </cell>
          <cell r="K85">
            <v>28.781300000000002</v>
          </cell>
        </row>
        <row r="86">
          <cell r="A86">
            <v>29753</v>
          </cell>
          <cell r="J86">
            <v>34.85</v>
          </cell>
          <cell r="K86">
            <v>28.511199999999999</v>
          </cell>
        </row>
        <row r="87">
          <cell r="A87">
            <v>29754</v>
          </cell>
          <cell r="J87">
            <v>43.35</v>
          </cell>
          <cell r="K87">
            <v>32.247</v>
          </cell>
        </row>
        <row r="88">
          <cell r="A88">
            <v>29755</v>
          </cell>
          <cell r="J88">
            <v>39.409999999999997</v>
          </cell>
          <cell r="K88">
            <v>30.3706</v>
          </cell>
        </row>
        <row r="89">
          <cell r="A89">
            <v>29756</v>
          </cell>
          <cell r="J89">
            <v>36.68</v>
          </cell>
          <cell r="K89">
            <v>28.953900000000001</v>
          </cell>
        </row>
        <row r="90">
          <cell r="A90">
            <v>29759</v>
          </cell>
          <cell r="J90">
            <v>35.65</v>
          </cell>
          <cell r="K90">
            <v>28.557099999999998</v>
          </cell>
        </row>
        <row r="91">
          <cell r="A91">
            <v>29760</v>
          </cell>
          <cell r="J91">
            <v>32.74</v>
          </cell>
          <cell r="K91">
            <v>27.412500000000001</v>
          </cell>
        </row>
        <row r="92">
          <cell r="A92">
            <v>29761</v>
          </cell>
          <cell r="J92">
            <v>30.94</v>
          </cell>
          <cell r="K92">
            <v>25.7971</v>
          </cell>
        </row>
        <row r="93">
          <cell r="A93">
            <v>29762</v>
          </cell>
          <cell r="J93">
            <v>28.32</v>
          </cell>
          <cell r="K93">
            <v>24.158200000000001</v>
          </cell>
        </row>
        <row r="94">
          <cell r="A94">
            <v>29763</v>
          </cell>
          <cell r="J94">
            <v>30.49</v>
          </cell>
          <cell r="K94">
            <v>24.822900000000001</v>
          </cell>
        </row>
        <row r="95">
          <cell r="A95">
            <v>29766</v>
          </cell>
          <cell r="J95">
            <v>28.51</v>
          </cell>
          <cell r="K95">
            <v>24.753299999999999</v>
          </cell>
        </row>
        <row r="96">
          <cell r="A96">
            <v>29767</v>
          </cell>
          <cell r="J96">
            <v>27.4</v>
          </cell>
          <cell r="K96">
            <v>23.4236</v>
          </cell>
        </row>
        <row r="97">
          <cell r="A97">
            <v>29768</v>
          </cell>
          <cell r="J97">
            <v>25.34</v>
          </cell>
          <cell r="K97">
            <v>22.149899999999999</v>
          </cell>
        </row>
        <row r="98">
          <cell r="A98">
            <v>29769</v>
          </cell>
          <cell r="J98">
            <v>27.1</v>
          </cell>
          <cell r="K98">
            <v>23.545300000000001</v>
          </cell>
        </row>
        <row r="99">
          <cell r="A99">
            <v>29770</v>
          </cell>
          <cell r="J99">
            <v>29.22</v>
          </cell>
          <cell r="K99">
            <v>24.6098</v>
          </cell>
        </row>
        <row r="100">
          <cell r="A100">
            <v>29773</v>
          </cell>
          <cell r="J100">
            <v>26.93</v>
          </cell>
          <cell r="K100">
            <v>23.140499999999999</v>
          </cell>
        </row>
        <row r="101">
          <cell r="A101">
            <v>29774</v>
          </cell>
          <cell r="J101">
            <v>27.53</v>
          </cell>
          <cell r="K101">
            <v>23.7118</v>
          </cell>
        </row>
        <row r="102">
          <cell r="A102">
            <v>29775</v>
          </cell>
          <cell r="J102">
            <v>25.34</v>
          </cell>
          <cell r="K102">
            <v>22.735800000000001</v>
          </cell>
        </row>
        <row r="103">
          <cell r="A103">
            <v>29776</v>
          </cell>
          <cell r="J103">
            <v>23.42</v>
          </cell>
          <cell r="K103">
            <v>23.4572</v>
          </cell>
        </row>
        <row r="104">
          <cell r="A104">
            <v>29777</v>
          </cell>
          <cell r="J104">
            <v>21.88</v>
          </cell>
          <cell r="K104">
            <v>22.260200000000001</v>
          </cell>
        </row>
        <row r="105">
          <cell r="A105">
            <v>29780</v>
          </cell>
          <cell r="J105">
            <v>20.62</v>
          </cell>
          <cell r="K105">
            <v>22.205200000000001</v>
          </cell>
        </row>
        <row r="106">
          <cell r="A106">
            <v>29781</v>
          </cell>
          <cell r="J106">
            <v>19.829999999999998</v>
          </cell>
          <cell r="K106">
            <v>22.446200000000001</v>
          </cell>
        </row>
        <row r="107">
          <cell r="A107">
            <v>29782</v>
          </cell>
          <cell r="J107">
            <v>19.53</v>
          </cell>
          <cell r="K107">
            <v>23.996200000000002</v>
          </cell>
        </row>
        <row r="108">
          <cell r="A108">
            <v>29783</v>
          </cell>
          <cell r="J108">
            <v>18.43</v>
          </cell>
          <cell r="K108">
            <v>23.3978</v>
          </cell>
        </row>
        <row r="109">
          <cell r="A109">
            <v>29784</v>
          </cell>
          <cell r="J109">
            <v>17.79</v>
          </cell>
          <cell r="K109">
            <v>21.882300000000001</v>
          </cell>
        </row>
        <row r="110">
          <cell r="A110">
            <v>29787</v>
          </cell>
          <cell r="J110">
            <v>18.649999999999999</v>
          </cell>
          <cell r="K110">
            <v>22.825700000000001</v>
          </cell>
        </row>
        <row r="111">
          <cell r="A111">
            <v>29788</v>
          </cell>
          <cell r="J111">
            <v>21.5</v>
          </cell>
          <cell r="K111">
            <v>25.707999999999998</v>
          </cell>
        </row>
        <row r="112">
          <cell r="A112">
            <v>29789</v>
          </cell>
          <cell r="J112">
            <v>25.12</v>
          </cell>
          <cell r="K112">
            <v>26.8904</v>
          </cell>
        </row>
        <row r="113">
          <cell r="A113">
            <v>29790</v>
          </cell>
          <cell r="J113">
            <v>23.29</v>
          </cell>
          <cell r="K113">
            <v>25.4468</v>
          </cell>
        </row>
        <row r="114">
          <cell r="A114">
            <v>29791</v>
          </cell>
          <cell r="J114">
            <v>25.45</v>
          </cell>
          <cell r="K114">
            <v>24.866499999999998</v>
          </cell>
        </row>
        <row r="115">
          <cell r="A115">
            <v>29794</v>
          </cell>
          <cell r="J115">
            <v>25.07</v>
          </cell>
          <cell r="K115">
            <v>23.959800000000001</v>
          </cell>
        </row>
        <row r="116">
          <cell r="A116">
            <v>29795</v>
          </cell>
          <cell r="J116">
            <v>23.58</v>
          </cell>
          <cell r="K116">
            <v>24.1142</v>
          </cell>
        </row>
        <row r="117">
          <cell r="A117">
            <v>29796</v>
          </cell>
          <cell r="J117">
            <v>22.27</v>
          </cell>
          <cell r="K117">
            <v>24.353100000000001</v>
          </cell>
        </row>
        <row r="118">
          <cell r="A118">
            <v>29797</v>
          </cell>
          <cell r="J118">
            <v>21.18</v>
          </cell>
          <cell r="K118">
            <v>22.9148</v>
          </cell>
        </row>
        <row r="119">
          <cell r="A119">
            <v>29798</v>
          </cell>
          <cell r="J119">
            <v>23.44</v>
          </cell>
          <cell r="K119">
            <v>22.913399999999999</v>
          </cell>
        </row>
        <row r="120">
          <cell r="A120">
            <v>29801</v>
          </cell>
          <cell r="J120">
            <v>21.92</v>
          </cell>
          <cell r="K120">
            <v>21.8659</v>
          </cell>
        </row>
        <row r="121">
          <cell r="A121">
            <v>29802</v>
          </cell>
          <cell r="J121">
            <v>20.6</v>
          </cell>
          <cell r="K121">
            <v>21.916399999999999</v>
          </cell>
        </row>
        <row r="122">
          <cell r="A122">
            <v>29803</v>
          </cell>
          <cell r="J122">
            <v>19.32</v>
          </cell>
          <cell r="K122">
            <v>21.525099999999998</v>
          </cell>
        </row>
        <row r="123">
          <cell r="A123">
            <v>29804</v>
          </cell>
          <cell r="J123">
            <v>18.559999999999999</v>
          </cell>
          <cell r="K123">
            <v>20.385300000000001</v>
          </cell>
        </row>
        <row r="124">
          <cell r="A124">
            <v>29805</v>
          </cell>
          <cell r="J124">
            <v>17.61</v>
          </cell>
          <cell r="K124">
            <v>19.302</v>
          </cell>
        </row>
        <row r="125">
          <cell r="A125">
            <v>29808</v>
          </cell>
          <cell r="J125">
            <v>18.38</v>
          </cell>
          <cell r="K125">
            <v>19.149100000000001</v>
          </cell>
        </row>
        <row r="126">
          <cell r="A126">
            <v>29809</v>
          </cell>
          <cell r="J126">
            <v>22.94</v>
          </cell>
          <cell r="K126">
            <v>21.356999999999999</v>
          </cell>
        </row>
        <row r="127">
          <cell r="A127">
            <v>29810</v>
          </cell>
          <cell r="J127">
            <v>22.91</v>
          </cell>
          <cell r="K127">
            <v>20.5962</v>
          </cell>
        </row>
        <row r="128">
          <cell r="A128">
            <v>29811</v>
          </cell>
          <cell r="J128">
            <v>21.47</v>
          </cell>
          <cell r="K128">
            <v>20.233699999999999</v>
          </cell>
        </row>
        <row r="129">
          <cell r="A129">
            <v>29812</v>
          </cell>
          <cell r="J129">
            <v>24.21</v>
          </cell>
          <cell r="K129">
            <v>21.3492</v>
          </cell>
        </row>
        <row r="130">
          <cell r="A130">
            <v>29815</v>
          </cell>
          <cell r="J130">
            <v>24.43</v>
          </cell>
          <cell r="K130">
            <v>22.750699999999998</v>
          </cell>
        </row>
        <row r="131">
          <cell r="A131">
            <v>29816</v>
          </cell>
          <cell r="J131">
            <v>22.63</v>
          </cell>
          <cell r="K131">
            <v>21.921800000000001</v>
          </cell>
        </row>
        <row r="132">
          <cell r="A132">
            <v>29817</v>
          </cell>
          <cell r="J132">
            <v>21.38</v>
          </cell>
          <cell r="K132">
            <v>22.190999999999999</v>
          </cell>
        </row>
        <row r="133">
          <cell r="A133">
            <v>29818</v>
          </cell>
          <cell r="J133">
            <v>21.7</v>
          </cell>
          <cell r="K133">
            <v>22.544</v>
          </cell>
        </row>
        <row r="134">
          <cell r="A134">
            <v>29819</v>
          </cell>
          <cell r="J134">
            <v>20.69</v>
          </cell>
          <cell r="K134">
            <v>21.9145</v>
          </cell>
        </row>
        <row r="135">
          <cell r="A135">
            <v>29822</v>
          </cell>
          <cell r="J135">
            <v>20.62</v>
          </cell>
          <cell r="K135">
            <v>21.753599999999999</v>
          </cell>
        </row>
        <row r="136">
          <cell r="A136">
            <v>29823</v>
          </cell>
          <cell r="J136">
            <v>19.95</v>
          </cell>
          <cell r="K136">
            <v>22.575299999999999</v>
          </cell>
        </row>
        <row r="137">
          <cell r="A137">
            <v>29824</v>
          </cell>
          <cell r="J137">
            <v>27.69</v>
          </cell>
          <cell r="K137">
            <v>28.782800000000002</v>
          </cell>
        </row>
        <row r="138">
          <cell r="A138">
            <v>29825</v>
          </cell>
          <cell r="J138">
            <v>26.96</v>
          </cell>
          <cell r="K138">
            <v>27.328800000000001</v>
          </cell>
        </row>
        <row r="139">
          <cell r="A139">
            <v>29826</v>
          </cell>
          <cell r="J139">
            <v>25.92</v>
          </cell>
          <cell r="K139">
            <v>25.961300000000001</v>
          </cell>
        </row>
        <row r="140">
          <cell r="A140">
            <v>29829</v>
          </cell>
          <cell r="J140">
            <v>25.2</v>
          </cell>
          <cell r="K140">
            <v>24.504100000000001</v>
          </cell>
        </row>
        <row r="141">
          <cell r="A141">
            <v>29830</v>
          </cell>
          <cell r="J141">
            <v>23.88</v>
          </cell>
          <cell r="K141">
            <v>23.029699999999998</v>
          </cell>
        </row>
        <row r="142">
          <cell r="A142">
            <v>29831</v>
          </cell>
          <cell r="J142">
            <v>22.27</v>
          </cell>
          <cell r="K142">
            <v>23.423500000000001</v>
          </cell>
        </row>
        <row r="143">
          <cell r="A143">
            <v>29832</v>
          </cell>
          <cell r="J143">
            <v>21.1</v>
          </cell>
          <cell r="K143">
            <v>21.959299999999999</v>
          </cell>
        </row>
        <row r="144">
          <cell r="A144">
            <v>29833</v>
          </cell>
          <cell r="J144">
            <v>21.18</v>
          </cell>
          <cell r="K144">
            <v>20.787299999999998</v>
          </cell>
        </row>
        <row r="145">
          <cell r="A145">
            <v>29836</v>
          </cell>
          <cell r="J145">
            <v>19.940000000000001</v>
          </cell>
          <cell r="K145">
            <v>20.993200000000002</v>
          </cell>
        </row>
        <row r="146">
          <cell r="A146">
            <v>29837</v>
          </cell>
          <cell r="J146">
            <v>18.96</v>
          </cell>
          <cell r="K146">
            <v>21.217500000000001</v>
          </cell>
        </row>
        <row r="147">
          <cell r="A147">
            <v>29838</v>
          </cell>
          <cell r="J147">
            <v>18.350000000000001</v>
          </cell>
          <cell r="K147">
            <v>21.021899999999999</v>
          </cell>
        </row>
        <row r="148">
          <cell r="A148">
            <v>29839</v>
          </cell>
          <cell r="J148">
            <v>18.78</v>
          </cell>
          <cell r="K148">
            <v>20.9633</v>
          </cell>
        </row>
        <row r="149">
          <cell r="A149">
            <v>29840</v>
          </cell>
          <cell r="J149">
            <v>19.170000000000002</v>
          </cell>
          <cell r="K149">
            <v>20.4193</v>
          </cell>
        </row>
        <row r="150">
          <cell r="A150">
            <v>29843</v>
          </cell>
          <cell r="J150">
            <v>19.36</v>
          </cell>
          <cell r="K150">
            <v>19.6036</v>
          </cell>
        </row>
        <row r="151">
          <cell r="A151">
            <v>29844</v>
          </cell>
          <cell r="J151">
            <v>18.38</v>
          </cell>
          <cell r="K151">
            <v>19.735499999999998</v>
          </cell>
        </row>
        <row r="152">
          <cell r="A152">
            <v>29845</v>
          </cell>
          <cell r="J152">
            <v>17.43</v>
          </cell>
          <cell r="K152">
            <v>19.0793</v>
          </cell>
        </row>
        <row r="153">
          <cell r="A153">
            <v>29846</v>
          </cell>
          <cell r="J153">
            <v>16.760000000000002</v>
          </cell>
          <cell r="K153">
            <v>18.259</v>
          </cell>
        </row>
        <row r="154">
          <cell r="A154">
            <v>29847</v>
          </cell>
          <cell r="J154">
            <v>22.69</v>
          </cell>
          <cell r="K154">
            <v>19.415800000000001</v>
          </cell>
        </row>
        <row r="155">
          <cell r="A155">
            <v>29850</v>
          </cell>
          <cell r="J155">
            <v>23.3</v>
          </cell>
          <cell r="K155">
            <v>23.729199999999999</v>
          </cell>
        </row>
        <row r="156">
          <cell r="A156">
            <v>29851</v>
          </cell>
          <cell r="J156">
            <v>22.95</v>
          </cell>
          <cell r="K156">
            <v>22.821300000000001</v>
          </cell>
        </row>
        <row r="157">
          <cell r="A157">
            <v>29852</v>
          </cell>
          <cell r="J157">
            <v>21.58</v>
          </cell>
          <cell r="K157">
            <v>22.3171</v>
          </cell>
        </row>
        <row r="158">
          <cell r="A158">
            <v>29853</v>
          </cell>
          <cell r="J158">
            <v>20.76</v>
          </cell>
          <cell r="K158">
            <v>26.455200000000001</v>
          </cell>
        </row>
        <row r="159">
          <cell r="A159">
            <v>29854</v>
          </cell>
          <cell r="J159">
            <v>25.24</v>
          </cell>
          <cell r="K159">
            <v>29.763200000000001</v>
          </cell>
        </row>
        <row r="160">
          <cell r="A160">
            <v>29857</v>
          </cell>
          <cell r="J160">
            <v>25.17</v>
          </cell>
          <cell r="K160">
            <v>29.667400000000001</v>
          </cell>
        </row>
        <row r="161">
          <cell r="A161">
            <v>29858</v>
          </cell>
          <cell r="J161">
            <v>37.94</v>
          </cell>
          <cell r="K161">
            <v>37.694200000000002</v>
          </cell>
        </row>
        <row r="162">
          <cell r="A162">
            <v>29859</v>
          </cell>
          <cell r="J162">
            <v>40.020000000000003</v>
          </cell>
          <cell r="K162">
            <v>42.154699999999998</v>
          </cell>
        </row>
        <row r="163">
          <cell r="A163">
            <v>29860</v>
          </cell>
          <cell r="J163">
            <v>36.549999999999997</v>
          </cell>
          <cell r="K163">
            <v>39.097499999999997</v>
          </cell>
        </row>
        <row r="164">
          <cell r="A164">
            <v>29861</v>
          </cell>
          <cell r="J164">
            <v>33.31</v>
          </cell>
          <cell r="K164">
            <v>36.099299999999999</v>
          </cell>
        </row>
        <row r="165">
          <cell r="A165">
            <v>29864</v>
          </cell>
          <cell r="J165">
            <v>30.74</v>
          </cell>
          <cell r="K165">
            <v>35.2791</v>
          </cell>
        </row>
        <row r="166">
          <cell r="A166">
            <v>29865</v>
          </cell>
          <cell r="J166">
            <v>30.13</v>
          </cell>
          <cell r="K166">
            <v>38.704500000000003</v>
          </cell>
        </row>
        <row r="167">
          <cell r="A167">
            <v>29866</v>
          </cell>
          <cell r="J167">
            <v>27.63</v>
          </cell>
          <cell r="K167">
            <v>35.555599999999998</v>
          </cell>
        </row>
        <row r="168">
          <cell r="A168">
            <v>29867</v>
          </cell>
          <cell r="J168">
            <v>25.46</v>
          </cell>
          <cell r="K168">
            <v>32.823399999999999</v>
          </cell>
        </row>
        <row r="169">
          <cell r="A169">
            <v>29868</v>
          </cell>
          <cell r="J169">
            <v>23.91</v>
          </cell>
          <cell r="K169">
            <v>30.628499999999999</v>
          </cell>
        </row>
        <row r="170">
          <cell r="A170">
            <v>29871</v>
          </cell>
          <cell r="J170">
            <v>26.43</v>
          </cell>
          <cell r="K170">
            <v>31.3018</v>
          </cell>
        </row>
        <row r="171">
          <cell r="A171">
            <v>29872</v>
          </cell>
          <cell r="J171">
            <v>24.84</v>
          </cell>
          <cell r="K171">
            <v>29.340900000000001</v>
          </cell>
        </row>
        <row r="172">
          <cell r="A172">
            <v>29873</v>
          </cell>
          <cell r="J172">
            <v>28.81</v>
          </cell>
          <cell r="K172">
            <v>31.400099999999998</v>
          </cell>
        </row>
        <row r="173">
          <cell r="A173">
            <v>29874</v>
          </cell>
          <cell r="J173">
            <v>27.63</v>
          </cell>
          <cell r="K173">
            <v>32.1633</v>
          </cell>
        </row>
        <row r="174">
          <cell r="A174">
            <v>29875</v>
          </cell>
          <cell r="J174">
            <v>25.42</v>
          </cell>
          <cell r="K174">
            <v>29.7897</v>
          </cell>
        </row>
        <row r="175">
          <cell r="A175">
            <v>29878</v>
          </cell>
          <cell r="J175">
            <v>24.16</v>
          </cell>
          <cell r="K175">
            <v>29.1431</v>
          </cell>
        </row>
        <row r="176">
          <cell r="A176">
            <v>29879</v>
          </cell>
          <cell r="J176">
            <v>22.44</v>
          </cell>
          <cell r="K176">
            <v>27.732800000000001</v>
          </cell>
        </row>
        <row r="177">
          <cell r="A177">
            <v>29880</v>
          </cell>
          <cell r="J177">
            <v>21.02</v>
          </cell>
          <cell r="K177">
            <v>26.294499999999999</v>
          </cell>
        </row>
        <row r="178">
          <cell r="A178">
            <v>29881</v>
          </cell>
          <cell r="J178">
            <v>21.4</v>
          </cell>
          <cell r="K178">
            <v>24.927900000000001</v>
          </cell>
        </row>
        <row r="179">
          <cell r="A179">
            <v>29882</v>
          </cell>
          <cell r="J179">
            <v>22.58</v>
          </cell>
          <cell r="K179">
            <v>25.042300000000001</v>
          </cell>
        </row>
        <row r="180">
          <cell r="A180">
            <v>29885</v>
          </cell>
          <cell r="J180">
            <v>21.33</v>
          </cell>
          <cell r="K180">
            <v>23.936299999999999</v>
          </cell>
        </row>
        <row r="181">
          <cell r="A181">
            <v>29886</v>
          </cell>
          <cell r="J181">
            <v>26.17</v>
          </cell>
          <cell r="K181">
            <v>25.230699999999999</v>
          </cell>
        </row>
        <row r="182">
          <cell r="A182">
            <v>29887</v>
          </cell>
          <cell r="J182">
            <v>24.29</v>
          </cell>
          <cell r="K182">
            <v>23.484100000000002</v>
          </cell>
        </row>
        <row r="183">
          <cell r="A183">
            <v>29888</v>
          </cell>
          <cell r="J183">
            <v>22.55</v>
          </cell>
          <cell r="K183">
            <v>22.288499999999999</v>
          </cell>
        </row>
        <row r="184">
          <cell r="A184">
            <v>29889</v>
          </cell>
          <cell r="J184">
            <v>21.08</v>
          </cell>
          <cell r="K184">
            <v>21.0381</v>
          </cell>
        </row>
        <row r="185">
          <cell r="A185">
            <v>29892</v>
          </cell>
          <cell r="J185">
            <v>21.08</v>
          </cell>
          <cell r="K185">
            <v>21.532</v>
          </cell>
        </row>
        <row r="186">
          <cell r="A186">
            <v>29893</v>
          </cell>
          <cell r="J186">
            <v>21.14</v>
          </cell>
          <cell r="K186">
            <v>31.339600000000001</v>
          </cell>
        </row>
        <row r="187">
          <cell r="A187">
            <v>29894</v>
          </cell>
          <cell r="J187">
            <v>19.989999999999998</v>
          </cell>
          <cell r="K187">
            <v>29.785900000000002</v>
          </cell>
        </row>
        <row r="188">
          <cell r="A188">
            <v>29895</v>
          </cell>
          <cell r="J188">
            <v>19.14</v>
          </cell>
          <cell r="K188">
            <v>27.6357</v>
          </cell>
        </row>
        <row r="189">
          <cell r="A189">
            <v>29896</v>
          </cell>
          <cell r="J189">
            <v>18.63</v>
          </cell>
          <cell r="K189">
            <v>26.1187</v>
          </cell>
        </row>
        <row r="190">
          <cell r="A190">
            <v>29899</v>
          </cell>
          <cell r="J190">
            <v>18.45</v>
          </cell>
          <cell r="K190">
            <v>26.011600000000001</v>
          </cell>
        </row>
        <row r="191">
          <cell r="A191">
            <v>29900</v>
          </cell>
          <cell r="J191">
            <v>17.53</v>
          </cell>
          <cell r="K191">
            <v>25.5992</v>
          </cell>
        </row>
        <row r="192">
          <cell r="A192">
            <v>29901</v>
          </cell>
          <cell r="J192">
            <v>19.57</v>
          </cell>
          <cell r="K192">
            <v>25.674299999999999</v>
          </cell>
        </row>
        <row r="193">
          <cell r="A193">
            <v>29902</v>
          </cell>
          <cell r="J193">
            <v>19.22</v>
          </cell>
          <cell r="K193">
            <v>25.204899999999999</v>
          </cell>
        </row>
        <row r="194">
          <cell r="A194">
            <v>29903</v>
          </cell>
          <cell r="J194">
            <v>18.14</v>
          </cell>
          <cell r="K194">
            <v>23.989899999999999</v>
          </cell>
        </row>
        <row r="195">
          <cell r="A195">
            <v>29906</v>
          </cell>
          <cell r="J195">
            <v>17.77</v>
          </cell>
          <cell r="K195">
            <v>22.627700000000001</v>
          </cell>
        </row>
        <row r="196">
          <cell r="A196">
            <v>29907</v>
          </cell>
          <cell r="J196">
            <v>17.91</v>
          </cell>
          <cell r="K196">
            <v>23.784500000000001</v>
          </cell>
        </row>
        <row r="197">
          <cell r="A197">
            <v>29908</v>
          </cell>
          <cell r="J197">
            <v>19.54</v>
          </cell>
          <cell r="K197">
            <v>22.793900000000001</v>
          </cell>
        </row>
        <row r="198">
          <cell r="A198">
            <v>29909</v>
          </cell>
          <cell r="J198">
            <v>18.920000000000002</v>
          </cell>
          <cell r="K198">
            <v>22.213000000000001</v>
          </cell>
        </row>
        <row r="199">
          <cell r="A199">
            <v>29910</v>
          </cell>
          <cell r="J199">
            <v>18.02</v>
          </cell>
          <cell r="K199">
            <v>21.256599999999999</v>
          </cell>
        </row>
        <row r="200">
          <cell r="A200">
            <v>29913</v>
          </cell>
          <cell r="J200">
            <v>18.34</v>
          </cell>
          <cell r="K200">
            <v>21.005099999999999</v>
          </cell>
        </row>
        <row r="201">
          <cell r="A201">
            <v>29914</v>
          </cell>
          <cell r="J201">
            <v>18.05</v>
          </cell>
          <cell r="K201">
            <v>21.981000000000002</v>
          </cell>
        </row>
        <row r="202">
          <cell r="A202">
            <v>29915</v>
          </cell>
          <cell r="J202">
            <v>18.79</v>
          </cell>
          <cell r="K202">
            <v>21.696000000000002</v>
          </cell>
        </row>
        <row r="203">
          <cell r="A203">
            <v>29916</v>
          </cell>
          <cell r="J203">
            <v>24.65</v>
          </cell>
          <cell r="K203">
            <v>23.1691</v>
          </cell>
        </row>
        <row r="204">
          <cell r="A204">
            <v>29917</v>
          </cell>
          <cell r="J204">
            <v>22.91</v>
          </cell>
          <cell r="K204">
            <v>22.187999999999999</v>
          </cell>
        </row>
        <row r="205">
          <cell r="A205">
            <v>29920</v>
          </cell>
          <cell r="J205">
            <v>22.21</v>
          </cell>
          <cell r="K205">
            <v>21.4057</v>
          </cell>
        </row>
        <row r="206">
          <cell r="A206">
            <v>29921</v>
          </cell>
          <cell r="J206">
            <v>23.54</v>
          </cell>
          <cell r="K206">
            <v>21.2149</v>
          </cell>
        </row>
        <row r="207">
          <cell r="A207">
            <v>29922</v>
          </cell>
          <cell r="J207">
            <v>22.41</v>
          </cell>
          <cell r="K207">
            <v>20.938600000000001</v>
          </cell>
        </row>
        <row r="208">
          <cell r="A208">
            <v>29923</v>
          </cell>
          <cell r="J208">
            <v>23.92</v>
          </cell>
          <cell r="K208">
            <v>21.476299999999998</v>
          </cell>
        </row>
        <row r="209">
          <cell r="A209">
            <v>29924</v>
          </cell>
          <cell r="J209">
            <v>22.42</v>
          </cell>
          <cell r="K209">
            <v>20.917100000000001</v>
          </cell>
        </row>
        <row r="210">
          <cell r="A210">
            <v>29927</v>
          </cell>
          <cell r="J210">
            <v>21.8</v>
          </cell>
          <cell r="K210">
            <v>20.6341</v>
          </cell>
        </row>
        <row r="211">
          <cell r="A211">
            <v>29928</v>
          </cell>
          <cell r="J211">
            <v>20.39</v>
          </cell>
          <cell r="K211">
            <v>19.488900000000001</v>
          </cell>
        </row>
        <row r="212">
          <cell r="A212">
            <v>29929</v>
          </cell>
          <cell r="J212">
            <v>20.62</v>
          </cell>
          <cell r="K212">
            <v>20.7395</v>
          </cell>
        </row>
        <row r="213">
          <cell r="A213">
            <v>29930</v>
          </cell>
          <cell r="J213">
            <v>19.600000000000001</v>
          </cell>
          <cell r="K213">
            <v>20.312799999999999</v>
          </cell>
        </row>
        <row r="214">
          <cell r="A214">
            <v>29931</v>
          </cell>
          <cell r="J214">
            <v>18.91</v>
          </cell>
          <cell r="K214">
            <v>19.2379</v>
          </cell>
        </row>
        <row r="215">
          <cell r="A215">
            <v>29934</v>
          </cell>
          <cell r="J215">
            <v>19.38</v>
          </cell>
          <cell r="K215">
            <v>19.866299999999999</v>
          </cell>
        </row>
        <row r="216">
          <cell r="A216">
            <v>29935</v>
          </cell>
          <cell r="J216">
            <v>21.93</v>
          </cell>
          <cell r="K216">
            <v>26.05</v>
          </cell>
        </row>
        <row r="217">
          <cell r="A217">
            <v>29936</v>
          </cell>
          <cell r="J217">
            <v>20.48</v>
          </cell>
          <cell r="K217">
            <v>24.422899999999998</v>
          </cell>
        </row>
        <row r="218">
          <cell r="A218">
            <v>29937</v>
          </cell>
          <cell r="J218">
            <v>19.600000000000001</v>
          </cell>
          <cell r="K218">
            <v>22.9876</v>
          </cell>
        </row>
        <row r="219">
          <cell r="A219">
            <v>29938</v>
          </cell>
          <cell r="J219">
            <v>18.71</v>
          </cell>
          <cell r="K219">
            <v>22.824400000000001</v>
          </cell>
        </row>
        <row r="220">
          <cell r="A220">
            <v>29941</v>
          </cell>
          <cell r="J220">
            <v>18.28</v>
          </cell>
          <cell r="K220">
            <v>22.6629</v>
          </cell>
        </row>
        <row r="221">
          <cell r="A221">
            <v>29942</v>
          </cell>
          <cell r="J221">
            <v>17.39</v>
          </cell>
          <cell r="K221">
            <v>21.2212</v>
          </cell>
        </row>
        <row r="222">
          <cell r="A222">
            <v>29943</v>
          </cell>
          <cell r="J222">
            <v>16.59</v>
          </cell>
          <cell r="K222">
            <v>19.9495</v>
          </cell>
        </row>
        <row r="223">
          <cell r="A223">
            <v>29944</v>
          </cell>
          <cell r="J223">
            <v>16.989999999999998</v>
          </cell>
          <cell r="K223">
            <v>18.9573</v>
          </cell>
        </row>
        <row r="224">
          <cell r="A224">
            <v>29945</v>
          </cell>
          <cell r="J224">
            <v>16.579999999999998</v>
          </cell>
          <cell r="K224">
            <v>18.213899999999999</v>
          </cell>
        </row>
        <row r="225">
          <cell r="A225">
            <v>29948</v>
          </cell>
          <cell r="J225">
            <v>15.98</v>
          </cell>
          <cell r="K225">
            <v>17.3096</v>
          </cell>
        </row>
        <row r="226">
          <cell r="A226">
            <v>29949</v>
          </cell>
          <cell r="J226">
            <v>15.4</v>
          </cell>
          <cell r="K226">
            <v>16.523199999999999</v>
          </cell>
        </row>
        <row r="227">
          <cell r="A227">
            <v>29950</v>
          </cell>
          <cell r="J227">
            <v>15.12</v>
          </cell>
          <cell r="K227">
            <v>16.0139</v>
          </cell>
        </row>
        <row r="228">
          <cell r="A228">
            <v>29951</v>
          </cell>
          <cell r="J228">
            <v>15.87</v>
          </cell>
          <cell r="K228">
            <v>16.046399999999998</v>
          </cell>
        </row>
        <row r="229">
          <cell r="A229">
            <v>29952</v>
          </cell>
          <cell r="J229">
            <v>15.8</v>
          </cell>
          <cell r="K229">
            <v>15.956200000000001</v>
          </cell>
        </row>
        <row r="230">
          <cell r="A230">
            <v>29955</v>
          </cell>
          <cell r="J230">
            <v>15.33</v>
          </cell>
          <cell r="K230">
            <v>15.4444</v>
          </cell>
        </row>
        <row r="231">
          <cell r="A231">
            <v>29956</v>
          </cell>
          <cell r="J231">
            <v>18.18</v>
          </cell>
          <cell r="K231">
            <v>17.258099999999999</v>
          </cell>
        </row>
        <row r="232">
          <cell r="A232">
            <v>29957</v>
          </cell>
          <cell r="J232">
            <v>17.260000000000002</v>
          </cell>
          <cell r="K232">
            <v>20.2501</v>
          </cell>
        </row>
        <row r="233">
          <cell r="A233">
            <v>29958</v>
          </cell>
          <cell r="J233">
            <v>17.170000000000002</v>
          </cell>
          <cell r="K233">
            <v>19.488399999999999</v>
          </cell>
        </row>
        <row r="234">
          <cell r="A234">
            <v>29959</v>
          </cell>
          <cell r="J234">
            <v>16.73</v>
          </cell>
          <cell r="K234">
            <v>19.318300000000001</v>
          </cell>
        </row>
        <row r="235">
          <cell r="A235">
            <v>29962</v>
          </cell>
          <cell r="J235">
            <v>17.79</v>
          </cell>
          <cell r="K235">
            <v>18.750299999999999</v>
          </cell>
        </row>
        <row r="236">
          <cell r="A236">
            <v>29963</v>
          </cell>
          <cell r="J236">
            <v>17.809999999999999</v>
          </cell>
          <cell r="K236">
            <v>20.155100000000001</v>
          </cell>
        </row>
        <row r="237">
          <cell r="A237">
            <v>29964</v>
          </cell>
          <cell r="J237">
            <v>16.940000000000001</v>
          </cell>
          <cell r="K237">
            <v>22.629200000000001</v>
          </cell>
        </row>
        <row r="238">
          <cell r="A238">
            <v>29965</v>
          </cell>
          <cell r="J238">
            <v>17.54</v>
          </cell>
          <cell r="K238">
            <v>21.33</v>
          </cell>
        </row>
        <row r="239">
          <cell r="A239">
            <v>29966</v>
          </cell>
          <cell r="J239">
            <v>21.01</v>
          </cell>
          <cell r="K239">
            <v>22.621300000000002</v>
          </cell>
        </row>
        <row r="240">
          <cell r="A240">
            <v>29969</v>
          </cell>
          <cell r="J240">
            <v>19.7</v>
          </cell>
          <cell r="K240">
            <v>21.360299999999999</v>
          </cell>
        </row>
        <row r="241">
          <cell r="A241">
            <v>29970</v>
          </cell>
          <cell r="J241">
            <v>18.8</v>
          </cell>
          <cell r="K241">
            <v>20.615400000000001</v>
          </cell>
        </row>
        <row r="242">
          <cell r="A242">
            <v>29971</v>
          </cell>
          <cell r="J242">
            <v>18.43</v>
          </cell>
          <cell r="K242">
            <v>21.062000000000001</v>
          </cell>
        </row>
        <row r="243">
          <cell r="A243">
            <v>29972</v>
          </cell>
          <cell r="J243">
            <v>17.920000000000002</v>
          </cell>
          <cell r="K243">
            <v>20.545500000000001</v>
          </cell>
        </row>
        <row r="244">
          <cell r="A244">
            <v>29973</v>
          </cell>
          <cell r="J244">
            <v>19.07</v>
          </cell>
          <cell r="K244">
            <v>20.120799999999999</v>
          </cell>
        </row>
        <row r="245">
          <cell r="A245">
            <v>29976</v>
          </cell>
          <cell r="J245">
            <v>18.05</v>
          </cell>
          <cell r="K245">
            <v>18.9816</v>
          </cell>
        </row>
        <row r="246">
          <cell r="A246">
            <v>29977</v>
          </cell>
          <cell r="J246">
            <v>23.64</v>
          </cell>
          <cell r="K246">
            <v>22.783000000000001</v>
          </cell>
        </row>
        <row r="247">
          <cell r="A247">
            <v>29978</v>
          </cell>
          <cell r="J247">
            <v>22.93</v>
          </cell>
          <cell r="K247">
            <v>21.9938</v>
          </cell>
        </row>
        <row r="248">
          <cell r="A248">
            <v>29979</v>
          </cell>
          <cell r="J248">
            <v>21.47</v>
          </cell>
          <cell r="K248">
            <v>20.563199999999998</v>
          </cell>
        </row>
        <row r="249">
          <cell r="A249">
            <v>29980</v>
          </cell>
          <cell r="J249">
            <v>21.28</v>
          </cell>
          <cell r="K249">
            <v>19.730399999999999</v>
          </cell>
        </row>
        <row r="250">
          <cell r="A250">
            <v>29983</v>
          </cell>
          <cell r="J250">
            <v>21.37</v>
          </cell>
          <cell r="K250">
            <v>19.6462</v>
          </cell>
        </row>
        <row r="251">
          <cell r="A251">
            <v>29984</v>
          </cell>
          <cell r="J251">
            <v>24.26</v>
          </cell>
          <cell r="K251">
            <v>23.41</v>
          </cell>
        </row>
        <row r="252">
          <cell r="A252">
            <v>29985</v>
          </cell>
          <cell r="J252">
            <v>22.93</v>
          </cell>
          <cell r="K252">
            <v>22.088799999999999</v>
          </cell>
        </row>
        <row r="253">
          <cell r="A253">
            <v>29986</v>
          </cell>
          <cell r="J253">
            <v>21.48</v>
          </cell>
          <cell r="K253">
            <v>20.7194</v>
          </cell>
        </row>
        <row r="254">
          <cell r="A254">
            <v>29987</v>
          </cell>
          <cell r="J254">
            <v>20.48</v>
          </cell>
          <cell r="K254">
            <v>20.209099999999999</v>
          </cell>
        </row>
        <row r="255">
          <cell r="A255">
            <v>29990</v>
          </cell>
          <cell r="J255">
            <v>19.22</v>
          </cell>
          <cell r="K255">
            <v>18.958100000000002</v>
          </cell>
        </row>
        <row r="256">
          <cell r="A256">
            <v>29991</v>
          </cell>
          <cell r="J256">
            <v>18.41</v>
          </cell>
          <cell r="K256">
            <v>20.6327</v>
          </cell>
        </row>
        <row r="257">
          <cell r="A257">
            <v>29992</v>
          </cell>
          <cell r="J257">
            <v>18.96</v>
          </cell>
          <cell r="K257">
            <v>21.376100000000001</v>
          </cell>
        </row>
        <row r="258">
          <cell r="A258">
            <v>29993</v>
          </cell>
          <cell r="J258">
            <v>17.91</v>
          </cell>
          <cell r="K258">
            <v>20.265499999999999</v>
          </cell>
        </row>
        <row r="259">
          <cell r="A259">
            <v>29994</v>
          </cell>
          <cell r="J259">
            <v>18.37</v>
          </cell>
          <cell r="K259">
            <v>19.4434</v>
          </cell>
        </row>
        <row r="260">
          <cell r="A260">
            <v>29997</v>
          </cell>
          <cell r="J260">
            <v>18.350000000000001</v>
          </cell>
          <cell r="K260">
            <v>20.734500000000001</v>
          </cell>
        </row>
        <row r="261">
          <cell r="A261">
            <v>29998</v>
          </cell>
          <cell r="J261">
            <v>18.8</v>
          </cell>
          <cell r="K261">
            <v>20.752199999999998</v>
          </cell>
        </row>
        <row r="262">
          <cell r="A262">
            <v>29999</v>
          </cell>
          <cell r="J262">
            <v>18.079999999999998</v>
          </cell>
          <cell r="K262">
            <v>19.759599999999999</v>
          </cell>
        </row>
        <row r="263">
          <cell r="A263">
            <v>30000</v>
          </cell>
          <cell r="J263">
            <v>17.45</v>
          </cell>
          <cell r="K263">
            <v>18.879100000000001</v>
          </cell>
        </row>
        <row r="264">
          <cell r="A264">
            <v>30001</v>
          </cell>
          <cell r="J264">
            <v>20.059999999999999</v>
          </cell>
          <cell r="K264">
            <v>19.0868</v>
          </cell>
        </row>
        <row r="265">
          <cell r="A265">
            <v>30004</v>
          </cell>
          <cell r="J265">
            <v>26.79</v>
          </cell>
          <cell r="K265">
            <v>20.611799999999999</v>
          </cell>
        </row>
        <row r="266">
          <cell r="A266">
            <v>30005</v>
          </cell>
          <cell r="J266">
            <v>24.92</v>
          </cell>
          <cell r="K266">
            <v>19.698899999999998</v>
          </cell>
        </row>
        <row r="267">
          <cell r="A267">
            <v>30006</v>
          </cell>
          <cell r="J267">
            <v>25.78</v>
          </cell>
          <cell r="K267">
            <v>22.2622</v>
          </cell>
        </row>
        <row r="268">
          <cell r="A268">
            <v>30007</v>
          </cell>
          <cell r="J268">
            <v>23.8</v>
          </cell>
          <cell r="K268">
            <v>21.457799999999999</v>
          </cell>
        </row>
        <row r="269">
          <cell r="A269">
            <v>30008</v>
          </cell>
          <cell r="J269">
            <v>22.14</v>
          </cell>
          <cell r="K269">
            <v>20.110900000000001</v>
          </cell>
        </row>
        <row r="270">
          <cell r="A270">
            <v>30011</v>
          </cell>
          <cell r="J270">
            <v>21.02</v>
          </cell>
          <cell r="K270">
            <v>20.306699999999999</v>
          </cell>
        </row>
        <row r="271">
          <cell r="A271">
            <v>30012</v>
          </cell>
          <cell r="J271">
            <v>20.45</v>
          </cell>
          <cell r="K271">
            <v>19.436</v>
          </cell>
        </row>
        <row r="272">
          <cell r="A272">
            <v>30013</v>
          </cell>
          <cell r="J272">
            <v>19.27</v>
          </cell>
          <cell r="K272">
            <v>19.314399999999999</v>
          </cell>
        </row>
        <row r="273">
          <cell r="A273">
            <v>30014</v>
          </cell>
          <cell r="J273">
            <v>18.98</v>
          </cell>
          <cell r="K273">
            <v>19.093299999999999</v>
          </cell>
        </row>
        <row r="274">
          <cell r="A274">
            <v>30015</v>
          </cell>
          <cell r="J274">
            <v>19.739999999999998</v>
          </cell>
          <cell r="K274">
            <v>19.238399999999999</v>
          </cell>
        </row>
        <row r="275">
          <cell r="A275">
            <v>30018</v>
          </cell>
          <cell r="J275">
            <v>18.66</v>
          </cell>
          <cell r="K275">
            <v>18.288399999999999</v>
          </cell>
        </row>
        <row r="276">
          <cell r="A276">
            <v>30019</v>
          </cell>
          <cell r="J276">
            <v>17.670000000000002</v>
          </cell>
          <cell r="K276">
            <v>17.721699999999998</v>
          </cell>
        </row>
        <row r="277">
          <cell r="A277">
            <v>30020</v>
          </cell>
          <cell r="J277">
            <v>22.34</v>
          </cell>
          <cell r="K277">
            <v>21.303000000000001</v>
          </cell>
        </row>
        <row r="278">
          <cell r="A278">
            <v>30021</v>
          </cell>
          <cell r="J278">
            <v>20.82</v>
          </cell>
          <cell r="K278">
            <v>20.0441</v>
          </cell>
        </row>
        <row r="279">
          <cell r="A279">
            <v>30022</v>
          </cell>
          <cell r="J279">
            <v>22.25</v>
          </cell>
          <cell r="K279">
            <v>20.3247</v>
          </cell>
        </row>
        <row r="280">
          <cell r="A280">
            <v>30025</v>
          </cell>
          <cell r="J280">
            <v>20.89</v>
          </cell>
          <cell r="K280">
            <v>20.2136</v>
          </cell>
        </row>
        <row r="281">
          <cell r="A281">
            <v>30026</v>
          </cell>
          <cell r="J281">
            <v>19.760000000000002</v>
          </cell>
          <cell r="K281">
            <v>19.460599999999999</v>
          </cell>
        </row>
        <row r="282">
          <cell r="A282">
            <v>30027</v>
          </cell>
          <cell r="J282">
            <v>18.75</v>
          </cell>
          <cell r="K282">
            <v>18.4374</v>
          </cell>
        </row>
        <row r="283">
          <cell r="A283">
            <v>30028</v>
          </cell>
          <cell r="J283">
            <v>17.920000000000002</v>
          </cell>
          <cell r="K283">
            <v>17.868300000000001</v>
          </cell>
        </row>
        <row r="284">
          <cell r="A284">
            <v>30029</v>
          </cell>
          <cell r="J284">
            <v>18.57</v>
          </cell>
          <cell r="K284">
            <v>17.576899999999998</v>
          </cell>
        </row>
        <row r="285">
          <cell r="A285">
            <v>30032</v>
          </cell>
          <cell r="J285">
            <v>18.03</v>
          </cell>
          <cell r="K285">
            <v>17.091999999999999</v>
          </cell>
        </row>
        <row r="286">
          <cell r="A286">
            <v>30033</v>
          </cell>
          <cell r="J286">
            <v>18.45</v>
          </cell>
          <cell r="K286">
            <v>17.478999999999999</v>
          </cell>
        </row>
        <row r="287">
          <cell r="A287">
            <v>30034</v>
          </cell>
          <cell r="J287">
            <v>17.79</v>
          </cell>
          <cell r="K287">
            <v>17.306799999999999</v>
          </cell>
        </row>
        <row r="288">
          <cell r="A288">
            <v>30035</v>
          </cell>
          <cell r="J288">
            <v>17.899999999999999</v>
          </cell>
          <cell r="K288">
            <v>17.539200000000001</v>
          </cell>
        </row>
        <row r="289">
          <cell r="A289">
            <v>30036</v>
          </cell>
          <cell r="J289">
            <v>17.14</v>
          </cell>
          <cell r="K289">
            <v>17.493099999999998</v>
          </cell>
        </row>
        <row r="290">
          <cell r="A290">
            <v>30039</v>
          </cell>
          <cell r="J290">
            <v>16.84</v>
          </cell>
          <cell r="K290">
            <v>16.825500000000002</v>
          </cell>
        </row>
        <row r="291">
          <cell r="A291">
            <v>30040</v>
          </cell>
          <cell r="J291">
            <v>16.11</v>
          </cell>
          <cell r="K291">
            <v>17.339700000000001</v>
          </cell>
        </row>
        <row r="292">
          <cell r="A292">
            <v>30041</v>
          </cell>
          <cell r="J292">
            <v>16</v>
          </cell>
          <cell r="K292">
            <v>16.8353</v>
          </cell>
        </row>
        <row r="293">
          <cell r="A293">
            <v>30042</v>
          </cell>
          <cell r="J293">
            <v>18.079999999999998</v>
          </cell>
          <cell r="K293">
            <v>17.155000000000001</v>
          </cell>
        </row>
        <row r="294">
          <cell r="A294">
            <v>30043</v>
          </cell>
          <cell r="J294">
            <v>18.579999999999998</v>
          </cell>
          <cell r="K294">
            <v>17.5624</v>
          </cell>
        </row>
        <row r="295">
          <cell r="A295">
            <v>30046</v>
          </cell>
          <cell r="J295">
            <v>17.649999999999999</v>
          </cell>
          <cell r="K295">
            <v>17.206299999999999</v>
          </cell>
        </row>
        <row r="296">
          <cell r="A296">
            <v>30047</v>
          </cell>
          <cell r="J296">
            <v>17.239999999999998</v>
          </cell>
          <cell r="K296">
            <v>18.231000000000002</v>
          </cell>
        </row>
        <row r="297">
          <cell r="A297">
            <v>30048</v>
          </cell>
          <cell r="J297">
            <v>16.53</v>
          </cell>
          <cell r="K297">
            <v>19.059799999999999</v>
          </cell>
        </row>
        <row r="298">
          <cell r="A298">
            <v>30049</v>
          </cell>
          <cell r="J298">
            <v>15.86</v>
          </cell>
          <cell r="K298">
            <v>18.8933</v>
          </cell>
        </row>
        <row r="299">
          <cell r="A299">
            <v>30050</v>
          </cell>
          <cell r="J299">
            <v>15.75</v>
          </cell>
          <cell r="K299">
            <v>18.402100000000001</v>
          </cell>
        </row>
        <row r="300">
          <cell r="A300">
            <v>30053</v>
          </cell>
          <cell r="J300">
            <v>15.29</v>
          </cell>
          <cell r="K300">
            <v>17.5822</v>
          </cell>
        </row>
        <row r="301">
          <cell r="A301">
            <v>30054</v>
          </cell>
          <cell r="J301">
            <v>14.91</v>
          </cell>
          <cell r="K301">
            <v>16.974699999999999</v>
          </cell>
        </row>
        <row r="302">
          <cell r="A302">
            <v>30055</v>
          </cell>
          <cell r="J302">
            <v>14.57</v>
          </cell>
          <cell r="K302">
            <v>16.47</v>
          </cell>
        </row>
        <row r="303">
          <cell r="A303">
            <v>30056</v>
          </cell>
          <cell r="J303">
            <v>14.54</v>
          </cell>
          <cell r="K303">
            <v>16.8628</v>
          </cell>
        </row>
        <row r="304">
          <cell r="A304">
            <v>30057</v>
          </cell>
          <cell r="J304">
            <v>14.23</v>
          </cell>
          <cell r="K304">
            <v>18.039200000000001</v>
          </cell>
        </row>
        <row r="305">
          <cell r="A305">
            <v>30060</v>
          </cell>
          <cell r="J305">
            <v>13.95</v>
          </cell>
          <cell r="K305">
            <v>17.196000000000002</v>
          </cell>
        </row>
        <row r="306">
          <cell r="A306">
            <v>30061</v>
          </cell>
          <cell r="J306">
            <v>14.64</v>
          </cell>
          <cell r="K306">
            <v>16.821100000000001</v>
          </cell>
        </row>
        <row r="307">
          <cell r="A307">
            <v>30062</v>
          </cell>
          <cell r="J307">
            <v>14.36</v>
          </cell>
          <cell r="K307">
            <v>17.444700000000001</v>
          </cell>
        </row>
        <row r="308">
          <cell r="A308">
            <v>30063</v>
          </cell>
          <cell r="J308">
            <v>14.96</v>
          </cell>
          <cell r="K308">
            <v>16.927299999999999</v>
          </cell>
        </row>
        <row r="309">
          <cell r="A309">
            <v>30064</v>
          </cell>
          <cell r="J309">
            <v>14.7</v>
          </cell>
          <cell r="K309">
            <v>16.4375</v>
          </cell>
        </row>
        <row r="310">
          <cell r="A310">
            <v>30067</v>
          </cell>
          <cell r="J310">
            <v>16.91</v>
          </cell>
          <cell r="K310">
            <v>16.412600000000001</v>
          </cell>
        </row>
        <row r="311">
          <cell r="A311">
            <v>30068</v>
          </cell>
          <cell r="J311">
            <v>17.11</v>
          </cell>
          <cell r="K311">
            <v>16.111799999999999</v>
          </cell>
        </row>
        <row r="312">
          <cell r="A312">
            <v>30069</v>
          </cell>
          <cell r="J312">
            <v>16.809999999999999</v>
          </cell>
          <cell r="K312">
            <v>16.890599999999999</v>
          </cell>
        </row>
        <row r="313">
          <cell r="A313">
            <v>30070</v>
          </cell>
          <cell r="J313">
            <v>16.510000000000002</v>
          </cell>
          <cell r="K313">
            <v>16.377700000000001</v>
          </cell>
        </row>
        <row r="314">
          <cell r="A314">
            <v>30071</v>
          </cell>
          <cell r="J314">
            <v>15.87</v>
          </cell>
          <cell r="K314">
            <v>15.969200000000001</v>
          </cell>
        </row>
        <row r="315">
          <cell r="A315">
            <v>30074</v>
          </cell>
          <cell r="J315">
            <v>15.79</v>
          </cell>
          <cell r="K315">
            <v>15.4497</v>
          </cell>
        </row>
        <row r="316">
          <cell r="A316">
            <v>30075</v>
          </cell>
          <cell r="J316">
            <v>15.24</v>
          </cell>
          <cell r="K316">
            <v>15.130599999999999</v>
          </cell>
        </row>
        <row r="317">
          <cell r="A317">
            <v>30076</v>
          </cell>
          <cell r="J317">
            <v>14.88</v>
          </cell>
          <cell r="K317">
            <v>14.7796</v>
          </cell>
        </row>
        <row r="318">
          <cell r="A318">
            <v>30077</v>
          </cell>
          <cell r="J318">
            <v>15.59</v>
          </cell>
          <cell r="K318">
            <v>14.9483</v>
          </cell>
        </row>
        <row r="319">
          <cell r="A319">
            <v>30078</v>
          </cell>
          <cell r="J319">
            <v>15.67</v>
          </cell>
          <cell r="K319">
            <v>15.8308</v>
          </cell>
        </row>
        <row r="320">
          <cell r="A320">
            <v>30081</v>
          </cell>
          <cell r="J320">
            <v>15.3</v>
          </cell>
          <cell r="K320">
            <v>15.6265</v>
          </cell>
        </row>
        <row r="321">
          <cell r="A321">
            <v>30082</v>
          </cell>
          <cell r="J321">
            <v>14.83</v>
          </cell>
          <cell r="K321">
            <v>16.212800000000001</v>
          </cell>
        </row>
        <row r="322">
          <cell r="A322">
            <v>30083</v>
          </cell>
          <cell r="J322">
            <v>14.44</v>
          </cell>
          <cell r="K322">
            <v>16.046199999999999</v>
          </cell>
        </row>
        <row r="323">
          <cell r="A323">
            <v>30084</v>
          </cell>
          <cell r="J323">
            <v>14.41</v>
          </cell>
          <cell r="K323">
            <v>15.983700000000001</v>
          </cell>
        </row>
        <row r="324">
          <cell r="A324">
            <v>30085</v>
          </cell>
          <cell r="J324">
            <v>17.34</v>
          </cell>
          <cell r="K324">
            <v>18.5944</v>
          </cell>
        </row>
        <row r="325">
          <cell r="A325">
            <v>30088</v>
          </cell>
          <cell r="J325">
            <v>20.34</v>
          </cell>
          <cell r="K325">
            <v>19.222100000000001</v>
          </cell>
        </row>
        <row r="326">
          <cell r="A326">
            <v>30089</v>
          </cell>
          <cell r="J326">
            <v>19.12</v>
          </cell>
          <cell r="K326">
            <v>18.5167</v>
          </cell>
        </row>
        <row r="327">
          <cell r="A327">
            <v>30090</v>
          </cell>
          <cell r="J327">
            <v>19.690000000000001</v>
          </cell>
          <cell r="K327">
            <v>20.624700000000001</v>
          </cell>
        </row>
        <row r="328">
          <cell r="A328">
            <v>30091</v>
          </cell>
          <cell r="J328">
            <v>18.59</v>
          </cell>
          <cell r="K328">
            <v>20.032900000000001</v>
          </cell>
        </row>
        <row r="329">
          <cell r="A329">
            <v>30092</v>
          </cell>
          <cell r="J329">
            <v>17.670000000000002</v>
          </cell>
          <cell r="K329">
            <v>19.353400000000001</v>
          </cell>
        </row>
        <row r="330">
          <cell r="A330">
            <v>30095</v>
          </cell>
          <cell r="J330">
            <v>17.04</v>
          </cell>
          <cell r="K330">
            <v>19.3874</v>
          </cell>
        </row>
        <row r="331">
          <cell r="A331">
            <v>30096</v>
          </cell>
          <cell r="J331">
            <v>16.420000000000002</v>
          </cell>
          <cell r="K331">
            <v>18.899999999999999</v>
          </cell>
        </row>
        <row r="332">
          <cell r="A332">
            <v>30097</v>
          </cell>
          <cell r="J332">
            <v>17.93</v>
          </cell>
          <cell r="K332">
            <v>18.7317</v>
          </cell>
        </row>
        <row r="333">
          <cell r="A333">
            <v>30098</v>
          </cell>
          <cell r="J333">
            <v>17.11</v>
          </cell>
          <cell r="K333">
            <v>18.4057</v>
          </cell>
        </row>
        <row r="334">
          <cell r="A334">
            <v>30099</v>
          </cell>
          <cell r="J334">
            <v>18.54</v>
          </cell>
          <cell r="K334">
            <v>18.5623</v>
          </cell>
        </row>
        <row r="335">
          <cell r="A335">
            <v>30102</v>
          </cell>
          <cell r="J335">
            <v>18.47</v>
          </cell>
          <cell r="K335">
            <v>18.061</v>
          </cell>
        </row>
        <row r="336">
          <cell r="A336">
            <v>30103</v>
          </cell>
          <cell r="J336">
            <v>17.57</v>
          </cell>
          <cell r="K336">
            <v>17.318000000000001</v>
          </cell>
        </row>
        <row r="337">
          <cell r="A337">
            <v>30104</v>
          </cell>
          <cell r="J337">
            <v>18.91</v>
          </cell>
          <cell r="K337">
            <v>18.513200000000001</v>
          </cell>
        </row>
        <row r="338">
          <cell r="A338">
            <v>30105</v>
          </cell>
          <cell r="J338">
            <v>19.38</v>
          </cell>
          <cell r="K338">
            <v>18.529</v>
          </cell>
        </row>
        <row r="339">
          <cell r="A339">
            <v>30106</v>
          </cell>
          <cell r="J339">
            <v>18.43</v>
          </cell>
          <cell r="K339">
            <v>17.582899999999999</v>
          </cell>
        </row>
        <row r="340">
          <cell r="A340">
            <v>30109</v>
          </cell>
          <cell r="J340">
            <v>17.73</v>
          </cell>
          <cell r="K340">
            <v>17.5077</v>
          </cell>
        </row>
        <row r="341">
          <cell r="A341">
            <v>30110</v>
          </cell>
          <cell r="J341">
            <v>20.2</v>
          </cell>
          <cell r="K341">
            <v>19.181699999999999</v>
          </cell>
        </row>
        <row r="342">
          <cell r="A342">
            <v>30111</v>
          </cell>
          <cell r="J342">
            <v>19.04</v>
          </cell>
          <cell r="K342">
            <v>18.1813</v>
          </cell>
        </row>
        <row r="343">
          <cell r="A343">
            <v>30112</v>
          </cell>
          <cell r="J343">
            <v>18.809999999999999</v>
          </cell>
          <cell r="K343">
            <v>18.907</v>
          </cell>
        </row>
        <row r="344">
          <cell r="A344">
            <v>30113</v>
          </cell>
          <cell r="J344">
            <v>17.940000000000001</v>
          </cell>
          <cell r="K344">
            <v>19.2288</v>
          </cell>
        </row>
        <row r="345">
          <cell r="A345">
            <v>30116</v>
          </cell>
          <cell r="J345">
            <v>18.23</v>
          </cell>
          <cell r="K345">
            <v>19.644500000000001</v>
          </cell>
        </row>
        <row r="346">
          <cell r="A346">
            <v>30117</v>
          </cell>
          <cell r="J346">
            <v>49.01</v>
          </cell>
          <cell r="K346">
            <v>33.722799999999999</v>
          </cell>
        </row>
        <row r="347">
          <cell r="A347">
            <v>30118</v>
          </cell>
          <cell r="J347">
            <v>44.58</v>
          </cell>
          <cell r="K347">
            <v>31.474</v>
          </cell>
        </row>
        <row r="348">
          <cell r="A348">
            <v>30119</v>
          </cell>
          <cell r="J348">
            <v>42.1</v>
          </cell>
          <cell r="K348">
            <v>30.506900000000002</v>
          </cell>
        </row>
        <row r="349">
          <cell r="A349">
            <v>30120</v>
          </cell>
          <cell r="J349">
            <v>41.28</v>
          </cell>
          <cell r="K349">
            <v>31.322600000000001</v>
          </cell>
        </row>
        <row r="350">
          <cell r="A350">
            <v>30123</v>
          </cell>
          <cell r="J350">
            <v>40.51</v>
          </cell>
          <cell r="K350">
            <v>30.862300000000001</v>
          </cell>
        </row>
        <row r="351">
          <cell r="A351">
            <v>30124</v>
          </cell>
          <cell r="J351">
            <v>37.4</v>
          </cell>
          <cell r="K351">
            <v>30.4986</v>
          </cell>
        </row>
        <row r="352">
          <cell r="A352">
            <v>30125</v>
          </cell>
          <cell r="J352">
            <v>34.090000000000003</v>
          </cell>
          <cell r="K352">
            <v>28.434899999999999</v>
          </cell>
        </row>
        <row r="353">
          <cell r="A353">
            <v>30126</v>
          </cell>
          <cell r="J353">
            <v>33.58</v>
          </cell>
          <cell r="K353">
            <v>27.494700000000002</v>
          </cell>
        </row>
        <row r="354">
          <cell r="A354">
            <v>30127</v>
          </cell>
          <cell r="J354">
            <v>30.66</v>
          </cell>
          <cell r="K354">
            <v>25.568000000000001</v>
          </cell>
        </row>
        <row r="355">
          <cell r="A355">
            <v>30130</v>
          </cell>
          <cell r="J355">
            <v>29.23</v>
          </cell>
          <cell r="K355">
            <v>25.792200000000001</v>
          </cell>
        </row>
        <row r="356">
          <cell r="A356">
            <v>30131</v>
          </cell>
          <cell r="J356">
            <v>27.19</v>
          </cell>
          <cell r="K356">
            <v>24.359300000000001</v>
          </cell>
        </row>
        <row r="357">
          <cell r="A357">
            <v>30132</v>
          </cell>
          <cell r="J357">
            <v>26.06</v>
          </cell>
          <cell r="K357">
            <v>23.038799999999998</v>
          </cell>
        </row>
        <row r="358">
          <cell r="A358">
            <v>30133</v>
          </cell>
          <cell r="J358">
            <v>24.4</v>
          </cell>
          <cell r="K358">
            <v>21.706199999999999</v>
          </cell>
        </row>
        <row r="359">
          <cell r="A359">
            <v>30134</v>
          </cell>
          <cell r="J359">
            <v>25.31</v>
          </cell>
          <cell r="K359">
            <v>22.533799999999999</v>
          </cell>
        </row>
        <row r="360">
          <cell r="A360">
            <v>30137</v>
          </cell>
          <cell r="J360">
            <v>24.24</v>
          </cell>
          <cell r="K360">
            <v>22.1267</v>
          </cell>
        </row>
        <row r="361">
          <cell r="A361">
            <v>30138</v>
          </cell>
          <cell r="J361">
            <v>22.77</v>
          </cell>
          <cell r="K361">
            <v>21.171199999999999</v>
          </cell>
        </row>
        <row r="362">
          <cell r="A362">
            <v>30139</v>
          </cell>
          <cell r="J362">
            <v>21.19</v>
          </cell>
          <cell r="K362">
            <v>20.030100000000001</v>
          </cell>
        </row>
        <row r="363">
          <cell r="A363">
            <v>30140</v>
          </cell>
          <cell r="J363">
            <v>26.22</v>
          </cell>
          <cell r="K363">
            <v>21.933199999999999</v>
          </cell>
        </row>
        <row r="364">
          <cell r="A364">
            <v>30141</v>
          </cell>
          <cell r="J364">
            <v>24.54</v>
          </cell>
          <cell r="K364">
            <v>20.8096</v>
          </cell>
        </row>
        <row r="365">
          <cell r="A365">
            <v>30144</v>
          </cell>
          <cell r="J365">
            <v>23.34</v>
          </cell>
          <cell r="K365">
            <v>20.0379</v>
          </cell>
        </row>
        <row r="366">
          <cell r="A366">
            <v>30145</v>
          </cell>
          <cell r="J366">
            <v>23.34</v>
          </cell>
          <cell r="K366">
            <v>20.661999999999999</v>
          </cell>
        </row>
        <row r="367">
          <cell r="A367">
            <v>30146</v>
          </cell>
          <cell r="J367">
            <v>21.8</v>
          </cell>
          <cell r="K367">
            <v>21.588699999999999</v>
          </cell>
        </row>
        <row r="368">
          <cell r="A368">
            <v>30147</v>
          </cell>
          <cell r="J368">
            <v>20.85</v>
          </cell>
          <cell r="K368">
            <v>20.3002</v>
          </cell>
        </row>
        <row r="369">
          <cell r="A369">
            <v>30148</v>
          </cell>
          <cell r="J369">
            <v>19.84</v>
          </cell>
          <cell r="K369">
            <v>19.2837</v>
          </cell>
        </row>
        <row r="370">
          <cell r="A370">
            <v>30151</v>
          </cell>
          <cell r="J370">
            <v>18.670000000000002</v>
          </cell>
          <cell r="K370">
            <v>18.202400000000001</v>
          </cell>
        </row>
        <row r="371">
          <cell r="A371">
            <v>30152</v>
          </cell>
          <cell r="J371">
            <v>17.98</v>
          </cell>
          <cell r="K371">
            <v>18.6738</v>
          </cell>
        </row>
        <row r="372">
          <cell r="A372">
            <v>30153</v>
          </cell>
          <cell r="J372">
            <v>17.100000000000001</v>
          </cell>
          <cell r="K372">
            <v>17.630700000000001</v>
          </cell>
        </row>
        <row r="373">
          <cell r="A373">
            <v>30154</v>
          </cell>
          <cell r="J373">
            <v>19.03</v>
          </cell>
          <cell r="K373">
            <v>17.509</v>
          </cell>
        </row>
        <row r="374">
          <cell r="A374">
            <v>30155</v>
          </cell>
          <cell r="J374">
            <v>18.100000000000001</v>
          </cell>
          <cell r="K374">
            <v>17.088799999999999</v>
          </cell>
        </row>
        <row r="375">
          <cell r="A375">
            <v>30158</v>
          </cell>
          <cell r="J375">
            <v>20.5</v>
          </cell>
          <cell r="K375">
            <v>18.731200000000001</v>
          </cell>
        </row>
        <row r="376">
          <cell r="A376">
            <v>30159</v>
          </cell>
          <cell r="J376">
            <v>20.23</v>
          </cell>
          <cell r="K376">
            <v>18.561599999999999</v>
          </cell>
        </row>
        <row r="377">
          <cell r="A377">
            <v>30160</v>
          </cell>
          <cell r="J377">
            <v>21.7</v>
          </cell>
          <cell r="K377">
            <v>19.918900000000001</v>
          </cell>
        </row>
        <row r="378">
          <cell r="A378">
            <v>30161</v>
          </cell>
          <cell r="J378">
            <v>22.19</v>
          </cell>
          <cell r="K378">
            <v>20.491900000000001</v>
          </cell>
        </row>
        <row r="379">
          <cell r="A379">
            <v>30162</v>
          </cell>
          <cell r="J379">
            <v>22.62</v>
          </cell>
          <cell r="K379">
            <v>21.3626</v>
          </cell>
        </row>
        <row r="380">
          <cell r="A380">
            <v>30165</v>
          </cell>
          <cell r="J380">
            <v>21.38</v>
          </cell>
          <cell r="K380">
            <v>20.1843</v>
          </cell>
        </row>
        <row r="381">
          <cell r="A381">
            <v>30166</v>
          </cell>
          <cell r="J381">
            <v>20.3</v>
          </cell>
          <cell r="K381">
            <v>19.339700000000001</v>
          </cell>
        </row>
        <row r="382">
          <cell r="A382">
            <v>30167</v>
          </cell>
          <cell r="J382">
            <v>19.079999999999998</v>
          </cell>
          <cell r="K382">
            <v>18.3018</v>
          </cell>
        </row>
        <row r="383">
          <cell r="A383">
            <v>30168</v>
          </cell>
          <cell r="J383">
            <v>22.24</v>
          </cell>
          <cell r="K383">
            <v>21.619399999999999</v>
          </cell>
        </row>
        <row r="384">
          <cell r="A384">
            <v>30169</v>
          </cell>
          <cell r="J384">
            <v>21.93</v>
          </cell>
          <cell r="K384">
            <v>22.315300000000001</v>
          </cell>
        </row>
        <row r="385">
          <cell r="A385">
            <v>30172</v>
          </cell>
          <cell r="J385">
            <v>22.41</v>
          </cell>
          <cell r="K385">
            <v>23.988700000000001</v>
          </cell>
        </row>
        <row r="386">
          <cell r="A386">
            <v>30173</v>
          </cell>
          <cell r="J386">
            <v>24.77</v>
          </cell>
          <cell r="K386">
            <v>25.819600000000001</v>
          </cell>
        </row>
        <row r="387">
          <cell r="A387">
            <v>30174</v>
          </cell>
          <cell r="J387">
            <v>23.35</v>
          </cell>
          <cell r="K387">
            <v>24.6189</v>
          </cell>
        </row>
        <row r="388">
          <cell r="A388">
            <v>30175</v>
          </cell>
          <cell r="J388">
            <v>24.82</v>
          </cell>
          <cell r="K388">
            <v>24.879799999999999</v>
          </cell>
        </row>
        <row r="389">
          <cell r="A389">
            <v>30176</v>
          </cell>
          <cell r="J389">
            <v>23.03</v>
          </cell>
          <cell r="K389">
            <v>23.021799999999999</v>
          </cell>
        </row>
        <row r="390">
          <cell r="A390">
            <v>30179</v>
          </cell>
          <cell r="J390">
            <v>21.6</v>
          </cell>
          <cell r="K390">
            <v>21.4329</v>
          </cell>
        </row>
        <row r="391">
          <cell r="A391">
            <v>30180</v>
          </cell>
          <cell r="J391">
            <v>20.97</v>
          </cell>
          <cell r="K391">
            <v>20.296099999999999</v>
          </cell>
        </row>
        <row r="392">
          <cell r="A392">
            <v>30181</v>
          </cell>
          <cell r="J392">
            <v>19.64</v>
          </cell>
          <cell r="K392">
            <v>20.232399999999998</v>
          </cell>
        </row>
        <row r="393">
          <cell r="A393">
            <v>30182</v>
          </cell>
          <cell r="J393">
            <v>25.05</v>
          </cell>
          <cell r="K393">
            <v>24.0932</v>
          </cell>
        </row>
        <row r="394">
          <cell r="A394">
            <v>30183</v>
          </cell>
          <cell r="J394">
            <v>24.81</v>
          </cell>
          <cell r="K394">
            <v>23.555599999999998</v>
          </cell>
        </row>
        <row r="395">
          <cell r="A395">
            <v>30186</v>
          </cell>
          <cell r="J395">
            <v>23.7</v>
          </cell>
          <cell r="K395">
            <v>25.938700000000001</v>
          </cell>
        </row>
        <row r="396">
          <cell r="A396">
            <v>30187</v>
          </cell>
          <cell r="J396">
            <v>22</v>
          </cell>
          <cell r="K396">
            <v>24.6861</v>
          </cell>
        </row>
        <row r="397">
          <cell r="A397">
            <v>30188</v>
          </cell>
          <cell r="J397">
            <v>21.9</v>
          </cell>
          <cell r="K397">
            <v>23.252400000000002</v>
          </cell>
        </row>
        <row r="398">
          <cell r="A398">
            <v>30189</v>
          </cell>
          <cell r="J398">
            <v>20.49</v>
          </cell>
          <cell r="K398">
            <v>22.040700000000001</v>
          </cell>
        </row>
        <row r="399">
          <cell r="A399">
            <v>30190</v>
          </cell>
          <cell r="J399">
            <v>25.77</v>
          </cell>
          <cell r="K399">
            <v>23.1067</v>
          </cell>
        </row>
        <row r="400">
          <cell r="A400">
            <v>30193</v>
          </cell>
          <cell r="J400">
            <v>23.84</v>
          </cell>
          <cell r="K400">
            <v>25.122699999999998</v>
          </cell>
        </row>
        <row r="401">
          <cell r="A401">
            <v>30194</v>
          </cell>
          <cell r="J401">
            <v>23.39</v>
          </cell>
          <cell r="K401">
            <v>25.668299999999999</v>
          </cell>
        </row>
        <row r="402">
          <cell r="A402">
            <v>30195</v>
          </cell>
          <cell r="J402">
            <v>22.3</v>
          </cell>
          <cell r="K402">
            <v>24.213999999999999</v>
          </cell>
        </row>
        <row r="403">
          <cell r="A403">
            <v>30196</v>
          </cell>
          <cell r="J403">
            <v>21.2</v>
          </cell>
          <cell r="K403">
            <v>23.424900000000001</v>
          </cell>
        </row>
        <row r="404">
          <cell r="A404">
            <v>30197</v>
          </cell>
          <cell r="J404">
            <v>19.899999999999999</v>
          </cell>
          <cell r="K404">
            <v>22.042300000000001</v>
          </cell>
        </row>
        <row r="405">
          <cell r="A405">
            <v>30200</v>
          </cell>
          <cell r="J405">
            <v>18.739999999999998</v>
          </cell>
          <cell r="K405">
            <v>21.9863</v>
          </cell>
        </row>
        <row r="406">
          <cell r="A406">
            <v>30201</v>
          </cell>
          <cell r="J406">
            <v>18.579999999999998</v>
          </cell>
          <cell r="K406">
            <v>21.878799999999998</v>
          </cell>
        </row>
        <row r="407">
          <cell r="A407">
            <v>30202</v>
          </cell>
          <cell r="J407">
            <v>19.59</v>
          </cell>
          <cell r="K407">
            <v>21.679500000000001</v>
          </cell>
        </row>
        <row r="408">
          <cell r="A408">
            <v>30203</v>
          </cell>
          <cell r="J408">
            <v>20.54</v>
          </cell>
          <cell r="K408">
            <v>21.421099999999999</v>
          </cell>
        </row>
        <row r="409">
          <cell r="A409">
            <v>30204</v>
          </cell>
          <cell r="J409">
            <v>19.600000000000001</v>
          </cell>
          <cell r="K409">
            <v>20.361999999999998</v>
          </cell>
        </row>
        <row r="410">
          <cell r="A410">
            <v>30207</v>
          </cell>
          <cell r="J410">
            <v>20.16</v>
          </cell>
          <cell r="K410">
            <v>21.757000000000001</v>
          </cell>
        </row>
        <row r="411">
          <cell r="A411">
            <v>30208</v>
          </cell>
          <cell r="J411">
            <v>20.52</v>
          </cell>
          <cell r="K411">
            <v>23.053799999999999</v>
          </cell>
        </row>
        <row r="412">
          <cell r="A412">
            <v>30209</v>
          </cell>
          <cell r="J412">
            <v>19.579999999999998</v>
          </cell>
          <cell r="K412">
            <v>22.427099999999999</v>
          </cell>
        </row>
        <row r="413">
          <cell r="A413">
            <v>30210</v>
          </cell>
          <cell r="J413">
            <v>18.66</v>
          </cell>
          <cell r="K413">
            <v>21.363299999999999</v>
          </cell>
        </row>
        <row r="414">
          <cell r="A414">
            <v>30211</v>
          </cell>
          <cell r="J414">
            <v>18.39</v>
          </cell>
          <cell r="K414">
            <v>20.210699999999999</v>
          </cell>
        </row>
        <row r="415">
          <cell r="A415">
            <v>30214</v>
          </cell>
          <cell r="J415">
            <v>17.66</v>
          </cell>
          <cell r="K415">
            <v>19.782699999999998</v>
          </cell>
        </row>
        <row r="416">
          <cell r="A416">
            <v>30215</v>
          </cell>
          <cell r="J416">
            <v>16.89</v>
          </cell>
          <cell r="K416">
            <v>18.9117</v>
          </cell>
        </row>
        <row r="417">
          <cell r="A417">
            <v>30216</v>
          </cell>
          <cell r="J417">
            <v>16.27</v>
          </cell>
          <cell r="K417">
            <v>18.254899999999999</v>
          </cell>
        </row>
        <row r="418">
          <cell r="A418">
            <v>30217</v>
          </cell>
          <cell r="J418">
            <v>16.38</v>
          </cell>
          <cell r="K418">
            <v>18.118200000000002</v>
          </cell>
        </row>
        <row r="419">
          <cell r="A419">
            <v>30218</v>
          </cell>
          <cell r="J419">
            <v>17.149999999999999</v>
          </cell>
          <cell r="K419">
            <v>18.366199999999999</v>
          </cell>
        </row>
        <row r="420">
          <cell r="A420">
            <v>30221</v>
          </cell>
          <cell r="J420">
            <v>16.38</v>
          </cell>
          <cell r="K420">
            <v>17.707000000000001</v>
          </cell>
        </row>
        <row r="421">
          <cell r="A421">
            <v>30222</v>
          </cell>
          <cell r="J421">
            <v>17.39</v>
          </cell>
          <cell r="K421">
            <v>21.699200000000001</v>
          </cell>
        </row>
        <row r="422">
          <cell r="A422">
            <v>30223</v>
          </cell>
          <cell r="J422">
            <v>17.010000000000002</v>
          </cell>
          <cell r="K422">
            <v>21.006399999999999</v>
          </cell>
        </row>
        <row r="423">
          <cell r="A423">
            <v>30224</v>
          </cell>
          <cell r="J423">
            <v>16.27</v>
          </cell>
          <cell r="K423">
            <v>20.401700000000002</v>
          </cell>
        </row>
        <row r="424">
          <cell r="A424">
            <v>30225</v>
          </cell>
          <cell r="J424">
            <v>17.12</v>
          </cell>
          <cell r="K424">
            <v>20.2089</v>
          </cell>
        </row>
        <row r="425">
          <cell r="A425">
            <v>30228</v>
          </cell>
          <cell r="J425">
            <v>16.73</v>
          </cell>
          <cell r="K425">
            <v>19.211300000000001</v>
          </cell>
        </row>
        <row r="426">
          <cell r="A426">
            <v>30229</v>
          </cell>
          <cell r="J426">
            <v>17.05</v>
          </cell>
          <cell r="K426">
            <v>20.811599999999999</v>
          </cell>
        </row>
        <row r="427">
          <cell r="A427">
            <v>30230</v>
          </cell>
          <cell r="J427">
            <v>17.399999999999999</v>
          </cell>
          <cell r="K427">
            <v>19.922499999999999</v>
          </cell>
        </row>
        <row r="428">
          <cell r="A428">
            <v>30231</v>
          </cell>
          <cell r="J428">
            <v>16.670000000000002</v>
          </cell>
          <cell r="K428">
            <v>19.152699999999999</v>
          </cell>
        </row>
        <row r="429">
          <cell r="A429">
            <v>30232</v>
          </cell>
          <cell r="J429">
            <v>16.72</v>
          </cell>
          <cell r="K429">
            <v>21.0915</v>
          </cell>
        </row>
        <row r="430">
          <cell r="A430">
            <v>30235</v>
          </cell>
          <cell r="J430">
            <v>16.28</v>
          </cell>
          <cell r="K430">
            <v>20.004200000000001</v>
          </cell>
        </row>
        <row r="431">
          <cell r="A431">
            <v>30236</v>
          </cell>
          <cell r="J431">
            <v>15.73</v>
          </cell>
          <cell r="K431">
            <v>23.3673</v>
          </cell>
        </row>
        <row r="432">
          <cell r="A432">
            <v>30237</v>
          </cell>
          <cell r="J432">
            <v>15.79</v>
          </cell>
          <cell r="K432">
            <v>21.9053</v>
          </cell>
        </row>
        <row r="433">
          <cell r="A433">
            <v>30238</v>
          </cell>
          <cell r="J433">
            <v>15.24</v>
          </cell>
          <cell r="K433">
            <v>20.8108</v>
          </cell>
        </row>
        <row r="434">
          <cell r="A434">
            <v>30239</v>
          </cell>
          <cell r="J434">
            <v>19.14</v>
          </cell>
          <cell r="K434">
            <v>21.551400000000001</v>
          </cell>
        </row>
        <row r="435">
          <cell r="A435">
            <v>30242</v>
          </cell>
          <cell r="J435">
            <v>21.22</v>
          </cell>
          <cell r="K435">
            <v>23.6953</v>
          </cell>
        </row>
        <row r="436">
          <cell r="A436">
            <v>30243</v>
          </cell>
          <cell r="J436">
            <v>20.7</v>
          </cell>
          <cell r="K436">
            <v>23.5593</v>
          </cell>
        </row>
        <row r="437">
          <cell r="A437">
            <v>30244</v>
          </cell>
          <cell r="J437">
            <v>19.399999999999999</v>
          </cell>
          <cell r="K437">
            <v>22.229900000000001</v>
          </cell>
        </row>
        <row r="438">
          <cell r="A438">
            <v>30245</v>
          </cell>
          <cell r="J438">
            <v>19.11</v>
          </cell>
          <cell r="K438">
            <v>21.530799999999999</v>
          </cell>
        </row>
        <row r="439">
          <cell r="A439">
            <v>30246</v>
          </cell>
          <cell r="J439">
            <v>18.77</v>
          </cell>
          <cell r="K439">
            <v>20.6417</v>
          </cell>
        </row>
        <row r="440">
          <cell r="A440">
            <v>30249</v>
          </cell>
          <cell r="J440">
            <v>17.88</v>
          </cell>
          <cell r="K440">
            <v>19.508500000000002</v>
          </cell>
        </row>
        <row r="441">
          <cell r="A441">
            <v>30250</v>
          </cell>
          <cell r="J441">
            <v>18.8</v>
          </cell>
          <cell r="K441">
            <v>24.7773</v>
          </cell>
        </row>
        <row r="442">
          <cell r="A442">
            <v>30251</v>
          </cell>
          <cell r="J442">
            <v>18.190000000000001</v>
          </cell>
          <cell r="K442">
            <v>23.375900000000001</v>
          </cell>
        </row>
        <row r="443">
          <cell r="A443">
            <v>30252</v>
          </cell>
          <cell r="J443">
            <v>17.53</v>
          </cell>
          <cell r="K443">
            <v>21.831299999999999</v>
          </cell>
        </row>
        <row r="444">
          <cell r="A444">
            <v>30253</v>
          </cell>
          <cell r="J444">
            <v>16.8</v>
          </cell>
          <cell r="K444">
            <v>21.800599999999999</v>
          </cell>
        </row>
        <row r="445">
          <cell r="A445">
            <v>30256</v>
          </cell>
          <cell r="J445">
            <v>18.27</v>
          </cell>
          <cell r="K445">
            <v>21.4983</v>
          </cell>
        </row>
        <row r="446">
          <cell r="A446">
            <v>30257</v>
          </cell>
          <cell r="J446">
            <v>17.32</v>
          </cell>
          <cell r="K446">
            <v>20.4178</v>
          </cell>
        </row>
        <row r="447">
          <cell r="A447">
            <v>30258</v>
          </cell>
          <cell r="J447">
            <v>16.57</v>
          </cell>
          <cell r="K447">
            <v>20.4635</v>
          </cell>
        </row>
        <row r="448">
          <cell r="A448">
            <v>30259</v>
          </cell>
          <cell r="J448">
            <v>15.96</v>
          </cell>
          <cell r="K448">
            <v>19.620999999999999</v>
          </cell>
        </row>
        <row r="449">
          <cell r="A449">
            <v>30260</v>
          </cell>
          <cell r="J449">
            <v>15.43</v>
          </cell>
          <cell r="K449">
            <v>18.930800000000001</v>
          </cell>
        </row>
        <row r="450">
          <cell r="A450">
            <v>30263</v>
          </cell>
          <cell r="J450">
            <v>15.06</v>
          </cell>
          <cell r="K450">
            <v>19.806100000000001</v>
          </cell>
        </row>
        <row r="451">
          <cell r="A451">
            <v>30264</v>
          </cell>
          <cell r="J451">
            <v>16.34</v>
          </cell>
          <cell r="K451">
            <v>21.982900000000001</v>
          </cell>
        </row>
        <row r="452">
          <cell r="A452">
            <v>30265</v>
          </cell>
          <cell r="J452">
            <v>15.76</v>
          </cell>
          <cell r="K452">
            <v>20.831399999999999</v>
          </cell>
        </row>
        <row r="453">
          <cell r="A453">
            <v>30266</v>
          </cell>
          <cell r="J453">
            <v>15.59</v>
          </cell>
          <cell r="K453">
            <v>20.886500000000002</v>
          </cell>
        </row>
        <row r="454">
          <cell r="A454">
            <v>30267</v>
          </cell>
          <cell r="J454">
            <v>15.82</v>
          </cell>
          <cell r="K454">
            <v>22.3902</v>
          </cell>
        </row>
        <row r="455">
          <cell r="A455">
            <v>30270</v>
          </cell>
          <cell r="J455">
            <v>15.31</v>
          </cell>
          <cell r="K455">
            <v>21.328900000000001</v>
          </cell>
        </row>
        <row r="456">
          <cell r="A456">
            <v>30271</v>
          </cell>
          <cell r="J456">
            <v>15.97</v>
          </cell>
          <cell r="K456">
            <v>22.2881</v>
          </cell>
        </row>
        <row r="457">
          <cell r="A457">
            <v>30272</v>
          </cell>
          <cell r="J457">
            <v>15.5</v>
          </cell>
          <cell r="K457">
            <v>22.782599999999999</v>
          </cell>
        </row>
        <row r="458">
          <cell r="A458">
            <v>30273</v>
          </cell>
          <cell r="J458">
            <v>15.06</v>
          </cell>
          <cell r="K458">
            <v>22.1783</v>
          </cell>
        </row>
        <row r="459">
          <cell r="A459">
            <v>30274</v>
          </cell>
          <cell r="J459">
            <v>14.67</v>
          </cell>
          <cell r="K459">
            <v>21.051300000000001</v>
          </cell>
        </row>
        <row r="460">
          <cell r="A460">
            <v>30277</v>
          </cell>
          <cell r="J460">
            <v>14.32</v>
          </cell>
          <cell r="K460">
            <v>20.121700000000001</v>
          </cell>
        </row>
        <row r="461">
          <cell r="A461">
            <v>30278</v>
          </cell>
          <cell r="J461">
            <v>14.02</v>
          </cell>
          <cell r="K461">
            <v>20.105799999999999</v>
          </cell>
        </row>
        <row r="462">
          <cell r="A462">
            <v>30279</v>
          </cell>
          <cell r="J462">
            <v>13.89</v>
          </cell>
          <cell r="K462">
            <v>22.287199999999999</v>
          </cell>
        </row>
        <row r="463">
          <cell r="A463">
            <v>30280</v>
          </cell>
          <cell r="J463">
            <v>17.55</v>
          </cell>
          <cell r="K463">
            <v>21.889500000000002</v>
          </cell>
        </row>
        <row r="464">
          <cell r="A464">
            <v>30281</v>
          </cell>
          <cell r="J464">
            <v>17</v>
          </cell>
          <cell r="K464">
            <v>22.136600000000001</v>
          </cell>
        </row>
        <row r="465">
          <cell r="A465">
            <v>30284</v>
          </cell>
          <cell r="J465">
            <v>16.760000000000002</v>
          </cell>
          <cell r="K465">
            <v>21.275200000000002</v>
          </cell>
        </row>
        <row r="466">
          <cell r="A466">
            <v>30285</v>
          </cell>
          <cell r="J466">
            <v>16.559999999999999</v>
          </cell>
          <cell r="K466">
            <v>20.8353</v>
          </cell>
        </row>
        <row r="467">
          <cell r="A467">
            <v>30286</v>
          </cell>
          <cell r="J467">
            <v>16.739999999999998</v>
          </cell>
          <cell r="K467">
            <v>20.2714</v>
          </cell>
        </row>
        <row r="468">
          <cell r="A468">
            <v>30287</v>
          </cell>
          <cell r="J468">
            <v>18.489999999999998</v>
          </cell>
          <cell r="K468">
            <v>23.2074</v>
          </cell>
        </row>
        <row r="469">
          <cell r="A469">
            <v>30288</v>
          </cell>
          <cell r="J469">
            <v>17.52</v>
          </cell>
          <cell r="K469">
            <v>21.7986</v>
          </cell>
        </row>
        <row r="470">
          <cell r="A470">
            <v>30291</v>
          </cell>
          <cell r="J470">
            <v>17.7</v>
          </cell>
          <cell r="K470">
            <v>21.749300000000002</v>
          </cell>
        </row>
        <row r="471">
          <cell r="A471">
            <v>30292</v>
          </cell>
          <cell r="J471">
            <v>17.21</v>
          </cell>
          <cell r="K471">
            <v>22.0352</v>
          </cell>
        </row>
        <row r="472">
          <cell r="A472">
            <v>30293</v>
          </cell>
          <cell r="J472">
            <v>16.489999999999998</v>
          </cell>
          <cell r="K472">
            <v>20.826699999999999</v>
          </cell>
        </row>
        <row r="473">
          <cell r="A473">
            <v>30294</v>
          </cell>
          <cell r="J473">
            <v>20.51</v>
          </cell>
          <cell r="K473">
            <v>22.438300000000002</v>
          </cell>
        </row>
        <row r="474">
          <cell r="A474">
            <v>30295</v>
          </cell>
          <cell r="J474">
            <v>21.72</v>
          </cell>
          <cell r="K474">
            <v>23.629200000000001</v>
          </cell>
        </row>
        <row r="475">
          <cell r="A475">
            <v>30298</v>
          </cell>
          <cell r="J475">
            <v>21.69</v>
          </cell>
          <cell r="K475">
            <v>23.137799999999999</v>
          </cell>
        </row>
        <row r="476">
          <cell r="A476">
            <v>30299</v>
          </cell>
          <cell r="J476">
            <v>20.88</v>
          </cell>
          <cell r="K476">
            <v>23.7437</v>
          </cell>
        </row>
        <row r="477">
          <cell r="A477">
            <v>30300</v>
          </cell>
          <cell r="J477">
            <v>21.05</v>
          </cell>
          <cell r="K477">
            <v>24.175000000000001</v>
          </cell>
        </row>
        <row r="478">
          <cell r="A478">
            <v>30301</v>
          </cell>
          <cell r="J478">
            <v>20.89</v>
          </cell>
          <cell r="K478">
            <v>26.119199999999999</v>
          </cell>
        </row>
        <row r="479">
          <cell r="A479">
            <v>30302</v>
          </cell>
          <cell r="J479">
            <v>20.079999999999998</v>
          </cell>
          <cell r="K479">
            <v>24.366700000000002</v>
          </cell>
        </row>
        <row r="480">
          <cell r="A480">
            <v>30305</v>
          </cell>
          <cell r="J480">
            <v>18.87</v>
          </cell>
          <cell r="K480">
            <v>22.950500000000002</v>
          </cell>
        </row>
        <row r="481">
          <cell r="A481">
            <v>30306</v>
          </cell>
          <cell r="J481">
            <v>18.63</v>
          </cell>
          <cell r="K481">
            <v>22.241</v>
          </cell>
        </row>
        <row r="482">
          <cell r="A482">
            <v>30307</v>
          </cell>
          <cell r="J482">
            <v>17.87</v>
          </cell>
          <cell r="K482">
            <v>21.803100000000001</v>
          </cell>
        </row>
        <row r="483">
          <cell r="A483">
            <v>30308</v>
          </cell>
          <cell r="J483">
            <v>16.989999999999998</v>
          </cell>
          <cell r="K483">
            <v>20.682099999999998</v>
          </cell>
        </row>
        <row r="484">
          <cell r="A484">
            <v>30309</v>
          </cell>
          <cell r="J484">
            <v>16.32</v>
          </cell>
          <cell r="K484">
            <v>19.964700000000001</v>
          </cell>
        </row>
        <row r="485">
          <cell r="A485">
            <v>30312</v>
          </cell>
          <cell r="J485">
            <v>15.81</v>
          </cell>
          <cell r="K485">
            <v>18.876100000000001</v>
          </cell>
        </row>
        <row r="486">
          <cell r="A486">
            <v>30313</v>
          </cell>
          <cell r="J486">
            <v>17.829999999999998</v>
          </cell>
          <cell r="K486">
            <v>18.9133</v>
          </cell>
        </row>
        <row r="487">
          <cell r="A487">
            <v>30314</v>
          </cell>
          <cell r="J487">
            <v>17.09</v>
          </cell>
          <cell r="K487">
            <v>17.9739</v>
          </cell>
        </row>
        <row r="488">
          <cell r="A488">
            <v>30315</v>
          </cell>
          <cell r="J488">
            <v>16.34</v>
          </cell>
          <cell r="K488">
            <v>17.216799999999999</v>
          </cell>
        </row>
        <row r="489">
          <cell r="A489">
            <v>30316</v>
          </cell>
          <cell r="J489">
            <v>16.71</v>
          </cell>
          <cell r="K489">
            <v>17.3001</v>
          </cell>
        </row>
        <row r="490">
          <cell r="A490">
            <v>30319</v>
          </cell>
          <cell r="J490">
            <v>18.100000000000001</v>
          </cell>
          <cell r="K490">
            <v>17.504200000000001</v>
          </cell>
        </row>
        <row r="491">
          <cell r="A491">
            <v>30320</v>
          </cell>
          <cell r="J491">
            <v>21.09</v>
          </cell>
          <cell r="K491">
            <v>19.5321</v>
          </cell>
        </row>
        <row r="492">
          <cell r="A492">
            <v>30321</v>
          </cell>
          <cell r="J492">
            <v>21.53</v>
          </cell>
          <cell r="K492">
            <v>19.255700000000001</v>
          </cell>
        </row>
        <row r="493">
          <cell r="A493">
            <v>30322</v>
          </cell>
          <cell r="J493">
            <v>25.05</v>
          </cell>
          <cell r="K493">
            <v>21.601099999999999</v>
          </cell>
        </row>
        <row r="494">
          <cell r="A494">
            <v>30323</v>
          </cell>
          <cell r="J494">
            <v>23.17</v>
          </cell>
          <cell r="K494">
            <v>20.308</v>
          </cell>
        </row>
        <row r="495">
          <cell r="A495">
            <v>30326</v>
          </cell>
          <cell r="J495">
            <v>23.51</v>
          </cell>
          <cell r="K495">
            <v>20.0077</v>
          </cell>
        </row>
        <row r="496">
          <cell r="A496">
            <v>30327</v>
          </cell>
          <cell r="J496">
            <v>21.94</v>
          </cell>
          <cell r="K496">
            <v>19.026800000000001</v>
          </cell>
        </row>
        <row r="497">
          <cell r="A497">
            <v>30328</v>
          </cell>
          <cell r="J497">
            <v>22.85</v>
          </cell>
          <cell r="K497">
            <v>22.2028</v>
          </cell>
        </row>
        <row r="498">
          <cell r="A498">
            <v>30329</v>
          </cell>
          <cell r="J498">
            <v>21.56</v>
          </cell>
          <cell r="K498">
            <v>21.092300000000002</v>
          </cell>
        </row>
        <row r="499">
          <cell r="A499">
            <v>30330</v>
          </cell>
          <cell r="J499">
            <v>22.32</v>
          </cell>
          <cell r="K499">
            <v>21.608899999999998</v>
          </cell>
        </row>
        <row r="500">
          <cell r="A500">
            <v>30333</v>
          </cell>
          <cell r="J500">
            <v>22.06</v>
          </cell>
          <cell r="K500">
            <v>20.930900000000001</v>
          </cell>
        </row>
        <row r="501">
          <cell r="A501">
            <v>30334</v>
          </cell>
          <cell r="J501">
            <v>20.58</v>
          </cell>
          <cell r="K501">
            <v>19.8123</v>
          </cell>
        </row>
        <row r="502">
          <cell r="A502">
            <v>30335</v>
          </cell>
          <cell r="J502">
            <v>21.89</v>
          </cell>
          <cell r="K502">
            <v>23.253799999999998</v>
          </cell>
        </row>
        <row r="503">
          <cell r="A503">
            <v>30336</v>
          </cell>
          <cell r="J503">
            <v>21.59</v>
          </cell>
          <cell r="K503">
            <v>22.320799999999998</v>
          </cell>
        </row>
        <row r="504">
          <cell r="A504">
            <v>30337</v>
          </cell>
          <cell r="J504">
            <v>20.22</v>
          </cell>
          <cell r="K504">
            <v>20.9163</v>
          </cell>
        </row>
        <row r="505">
          <cell r="A505">
            <v>30340</v>
          </cell>
          <cell r="J505">
            <v>19.010000000000002</v>
          </cell>
          <cell r="K505">
            <v>21.020800000000001</v>
          </cell>
        </row>
        <row r="506">
          <cell r="A506">
            <v>30341</v>
          </cell>
          <cell r="J506">
            <v>20.36</v>
          </cell>
          <cell r="K506">
            <v>30.9635</v>
          </cell>
        </row>
        <row r="507">
          <cell r="A507">
            <v>30342</v>
          </cell>
          <cell r="J507">
            <v>19.88</v>
          </cell>
          <cell r="K507">
            <v>29.419499999999999</v>
          </cell>
        </row>
        <row r="508">
          <cell r="A508">
            <v>30343</v>
          </cell>
          <cell r="J508">
            <v>19.399999999999999</v>
          </cell>
          <cell r="K508">
            <v>27.1784</v>
          </cell>
        </row>
        <row r="509">
          <cell r="A509">
            <v>30344</v>
          </cell>
          <cell r="J509">
            <v>19.11</v>
          </cell>
          <cell r="K509">
            <v>25.610800000000001</v>
          </cell>
        </row>
        <row r="510">
          <cell r="A510">
            <v>30347</v>
          </cell>
          <cell r="J510">
            <v>18.04</v>
          </cell>
          <cell r="K510">
            <v>24.1891</v>
          </cell>
        </row>
        <row r="511">
          <cell r="A511">
            <v>30348</v>
          </cell>
          <cell r="J511">
            <v>18.010000000000002</v>
          </cell>
          <cell r="K511">
            <v>23.3596</v>
          </cell>
        </row>
        <row r="512">
          <cell r="A512">
            <v>30349</v>
          </cell>
          <cell r="J512">
            <v>17.29</v>
          </cell>
          <cell r="K512">
            <v>22.344100000000001</v>
          </cell>
        </row>
        <row r="513">
          <cell r="A513">
            <v>30350</v>
          </cell>
          <cell r="J513">
            <v>20.92</v>
          </cell>
          <cell r="K513">
            <v>22.948499999999999</v>
          </cell>
        </row>
        <row r="514">
          <cell r="A514">
            <v>30351</v>
          </cell>
          <cell r="J514">
            <v>19.739999999999998</v>
          </cell>
          <cell r="K514">
            <v>22.604500000000002</v>
          </cell>
        </row>
        <row r="515">
          <cell r="A515">
            <v>30354</v>
          </cell>
          <cell r="J515">
            <v>18.75</v>
          </cell>
          <cell r="K515">
            <v>21.552399999999999</v>
          </cell>
        </row>
        <row r="516">
          <cell r="A516">
            <v>30355</v>
          </cell>
          <cell r="J516">
            <v>17.739999999999998</v>
          </cell>
          <cell r="K516">
            <v>20.1951</v>
          </cell>
        </row>
        <row r="517">
          <cell r="A517">
            <v>30356</v>
          </cell>
          <cell r="J517">
            <v>18.7</v>
          </cell>
          <cell r="K517">
            <v>20.425799999999999</v>
          </cell>
        </row>
        <row r="518">
          <cell r="A518">
            <v>30357</v>
          </cell>
          <cell r="J518">
            <v>17.7</v>
          </cell>
          <cell r="K518">
            <v>19.260400000000001</v>
          </cell>
        </row>
        <row r="519">
          <cell r="A519">
            <v>30358</v>
          </cell>
          <cell r="J519">
            <v>17.100000000000001</v>
          </cell>
          <cell r="K519">
            <v>18.9589</v>
          </cell>
        </row>
        <row r="520">
          <cell r="A520">
            <v>30361</v>
          </cell>
          <cell r="J520">
            <v>16.559999999999999</v>
          </cell>
          <cell r="K520">
            <v>18.7423</v>
          </cell>
        </row>
        <row r="521">
          <cell r="A521">
            <v>30362</v>
          </cell>
          <cell r="J521">
            <v>15.9</v>
          </cell>
          <cell r="K521">
            <v>18.4329</v>
          </cell>
        </row>
        <row r="522">
          <cell r="A522">
            <v>30363</v>
          </cell>
          <cell r="J522">
            <v>15.79</v>
          </cell>
          <cell r="K522">
            <v>17.563199999999998</v>
          </cell>
        </row>
        <row r="523">
          <cell r="A523">
            <v>30364</v>
          </cell>
          <cell r="J523">
            <v>15.29</v>
          </cell>
          <cell r="K523">
            <v>16.8566</v>
          </cell>
        </row>
        <row r="524">
          <cell r="A524">
            <v>30365</v>
          </cell>
          <cell r="J524">
            <v>16.22</v>
          </cell>
          <cell r="K524">
            <v>17.2423</v>
          </cell>
        </row>
        <row r="525">
          <cell r="A525">
            <v>30368</v>
          </cell>
          <cell r="J525">
            <v>15.66</v>
          </cell>
          <cell r="K525">
            <v>17.222000000000001</v>
          </cell>
        </row>
        <row r="526">
          <cell r="A526">
            <v>30369</v>
          </cell>
          <cell r="J526">
            <v>15.75</v>
          </cell>
          <cell r="K526">
            <v>16.826699999999999</v>
          </cell>
        </row>
        <row r="527">
          <cell r="A527">
            <v>30370</v>
          </cell>
          <cell r="J527">
            <v>15.28</v>
          </cell>
          <cell r="K527">
            <v>19.495000000000001</v>
          </cell>
        </row>
        <row r="528">
          <cell r="A528">
            <v>30371</v>
          </cell>
          <cell r="J528">
            <v>16.87</v>
          </cell>
          <cell r="K528">
            <v>20.381499999999999</v>
          </cell>
        </row>
        <row r="529">
          <cell r="A529">
            <v>30372</v>
          </cell>
          <cell r="J529">
            <v>19.75</v>
          </cell>
          <cell r="K529">
            <v>21.045999999999999</v>
          </cell>
        </row>
        <row r="530">
          <cell r="A530">
            <v>30375</v>
          </cell>
          <cell r="J530">
            <v>18.61</v>
          </cell>
          <cell r="K530">
            <v>19.712499999999999</v>
          </cell>
        </row>
        <row r="531">
          <cell r="A531">
            <v>30376</v>
          </cell>
          <cell r="J531">
            <v>22.56</v>
          </cell>
          <cell r="K531">
            <v>22.035499999999999</v>
          </cell>
        </row>
        <row r="532">
          <cell r="A532">
            <v>30377</v>
          </cell>
          <cell r="J532">
            <v>21.15</v>
          </cell>
          <cell r="K532">
            <v>20.838100000000001</v>
          </cell>
        </row>
        <row r="533">
          <cell r="A533">
            <v>30378</v>
          </cell>
          <cell r="J533">
            <v>20.27</v>
          </cell>
          <cell r="K533">
            <v>20.422899999999998</v>
          </cell>
        </row>
        <row r="534">
          <cell r="A534">
            <v>30379</v>
          </cell>
          <cell r="J534">
            <v>19.350000000000001</v>
          </cell>
          <cell r="K534">
            <v>19.687200000000001</v>
          </cell>
        </row>
        <row r="535">
          <cell r="A535">
            <v>30382</v>
          </cell>
          <cell r="J535">
            <v>18.25</v>
          </cell>
          <cell r="K535">
            <v>18.984000000000002</v>
          </cell>
        </row>
        <row r="536">
          <cell r="A536">
            <v>30383</v>
          </cell>
          <cell r="J536">
            <v>18.190000000000001</v>
          </cell>
          <cell r="K536">
            <v>21.177499999999998</v>
          </cell>
        </row>
        <row r="537">
          <cell r="A537">
            <v>30384</v>
          </cell>
          <cell r="J537">
            <v>18.440000000000001</v>
          </cell>
          <cell r="K537">
            <v>22.0505</v>
          </cell>
        </row>
        <row r="538">
          <cell r="A538">
            <v>30385</v>
          </cell>
          <cell r="J538">
            <v>17.489999999999998</v>
          </cell>
          <cell r="K538">
            <v>20.7592</v>
          </cell>
        </row>
        <row r="539">
          <cell r="A539">
            <v>30386</v>
          </cell>
          <cell r="J539">
            <v>16.71</v>
          </cell>
          <cell r="K539">
            <v>21.5411</v>
          </cell>
        </row>
        <row r="540">
          <cell r="A540">
            <v>30389</v>
          </cell>
          <cell r="J540">
            <v>17.28</v>
          </cell>
          <cell r="K540">
            <v>21.572800000000001</v>
          </cell>
        </row>
        <row r="541">
          <cell r="A541">
            <v>30390</v>
          </cell>
          <cell r="J541">
            <v>21.14</v>
          </cell>
          <cell r="K541">
            <v>21.2883</v>
          </cell>
        </row>
        <row r="542">
          <cell r="A542">
            <v>30391</v>
          </cell>
          <cell r="J542">
            <v>19.809999999999999</v>
          </cell>
          <cell r="K542">
            <v>20.125299999999999</v>
          </cell>
        </row>
        <row r="543">
          <cell r="A543">
            <v>30392</v>
          </cell>
          <cell r="J543">
            <v>18.64</v>
          </cell>
          <cell r="K543">
            <v>19.567399999999999</v>
          </cell>
        </row>
        <row r="544">
          <cell r="A544">
            <v>30393</v>
          </cell>
          <cell r="J544">
            <v>19.95</v>
          </cell>
          <cell r="K544">
            <v>20.345099999999999</v>
          </cell>
        </row>
        <row r="545">
          <cell r="A545">
            <v>30396</v>
          </cell>
          <cell r="J545">
            <v>19.39</v>
          </cell>
          <cell r="K545">
            <v>20.025400000000001</v>
          </cell>
        </row>
        <row r="546">
          <cell r="A546">
            <v>30397</v>
          </cell>
          <cell r="J546">
            <v>35.57</v>
          </cell>
          <cell r="K546">
            <v>28.252199999999998</v>
          </cell>
        </row>
        <row r="547">
          <cell r="A547">
            <v>30398</v>
          </cell>
          <cell r="J547">
            <v>32.9</v>
          </cell>
          <cell r="K547">
            <v>27.651299999999999</v>
          </cell>
        </row>
        <row r="548">
          <cell r="A548">
            <v>30399</v>
          </cell>
          <cell r="J548">
            <v>30.5</v>
          </cell>
          <cell r="K548">
            <v>25.987500000000001</v>
          </cell>
        </row>
        <row r="549">
          <cell r="A549">
            <v>30400</v>
          </cell>
          <cell r="J549">
            <v>30.96</v>
          </cell>
          <cell r="K549">
            <v>25.685400000000001</v>
          </cell>
        </row>
        <row r="550">
          <cell r="A550">
            <v>30403</v>
          </cell>
          <cell r="J550">
            <v>28.79</v>
          </cell>
          <cell r="K550">
            <v>23.9544</v>
          </cell>
        </row>
        <row r="551">
          <cell r="A551">
            <v>30404</v>
          </cell>
          <cell r="J551">
            <v>26.45</v>
          </cell>
          <cell r="K551">
            <v>23.247599999999998</v>
          </cell>
        </row>
        <row r="552">
          <cell r="A552">
            <v>30405</v>
          </cell>
          <cell r="J552">
            <v>24.8</v>
          </cell>
          <cell r="K552">
            <v>22.482500000000002</v>
          </cell>
        </row>
        <row r="553">
          <cell r="A553">
            <v>30406</v>
          </cell>
          <cell r="J553">
            <v>22.96</v>
          </cell>
          <cell r="K553">
            <v>21.113199999999999</v>
          </cell>
        </row>
        <row r="554">
          <cell r="A554">
            <v>30407</v>
          </cell>
          <cell r="J554">
            <v>21.4</v>
          </cell>
          <cell r="K554">
            <v>21.799299999999999</v>
          </cell>
        </row>
        <row r="555">
          <cell r="A555">
            <v>30410</v>
          </cell>
          <cell r="J555">
            <v>20.07</v>
          </cell>
          <cell r="K555">
            <v>20.548400000000001</v>
          </cell>
        </row>
        <row r="556">
          <cell r="A556">
            <v>30411</v>
          </cell>
          <cell r="J556">
            <v>18.86</v>
          </cell>
          <cell r="K556">
            <v>19.287199999999999</v>
          </cell>
        </row>
        <row r="557">
          <cell r="A557">
            <v>30412</v>
          </cell>
          <cell r="J557">
            <v>19.010000000000002</v>
          </cell>
          <cell r="K557">
            <v>18.750800000000002</v>
          </cell>
        </row>
        <row r="558">
          <cell r="A558">
            <v>30413</v>
          </cell>
          <cell r="J558">
            <v>17.98</v>
          </cell>
          <cell r="K558">
            <v>18.663499999999999</v>
          </cell>
        </row>
        <row r="559">
          <cell r="A559">
            <v>30414</v>
          </cell>
          <cell r="J559">
            <v>17.39</v>
          </cell>
          <cell r="K559">
            <v>17.860900000000001</v>
          </cell>
        </row>
        <row r="560">
          <cell r="A560">
            <v>30417</v>
          </cell>
          <cell r="J560">
            <v>17.2</v>
          </cell>
          <cell r="K560">
            <v>17.2897</v>
          </cell>
        </row>
        <row r="561">
          <cell r="A561">
            <v>30418</v>
          </cell>
          <cell r="J561">
            <v>19.190000000000001</v>
          </cell>
          <cell r="K561">
            <v>19.0059</v>
          </cell>
        </row>
        <row r="562">
          <cell r="A562">
            <v>30419</v>
          </cell>
          <cell r="J562">
            <v>19.13</v>
          </cell>
          <cell r="K562">
            <v>19.640499999999999</v>
          </cell>
        </row>
        <row r="563">
          <cell r="A563">
            <v>30420</v>
          </cell>
          <cell r="J563">
            <v>18.670000000000002</v>
          </cell>
          <cell r="K563">
            <v>19.634899999999998</v>
          </cell>
        </row>
        <row r="564">
          <cell r="A564">
            <v>30421</v>
          </cell>
          <cell r="J564">
            <v>18.62</v>
          </cell>
          <cell r="K564">
            <v>19.311399999999999</v>
          </cell>
        </row>
        <row r="565">
          <cell r="A565">
            <v>30424</v>
          </cell>
          <cell r="J565">
            <v>17.7</v>
          </cell>
          <cell r="K565">
            <v>19.487500000000001</v>
          </cell>
        </row>
        <row r="566">
          <cell r="A566">
            <v>30425</v>
          </cell>
          <cell r="J566">
            <v>16.88</v>
          </cell>
          <cell r="K566">
            <v>18.467199999999998</v>
          </cell>
        </row>
        <row r="567">
          <cell r="A567">
            <v>30426</v>
          </cell>
          <cell r="J567">
            <v>17.13</v>
          </cell>
          <cell r="K567">
            <v>19.607900000000001</v>
          </cell>
        </row>
        <row r="568">
          <cell r="A568">
            <v>30427</v>
          </cell>
          <cell r="J568">
            <v>19.53</v>
          </cell>
          <cell r="K568">
            <v>20.069099999999999</v>
          </cell>
        </row>
        <row r="569">
          <cell r="A569">
            <v>30428</v>
          </cell>
          <cell r="J569">
            <v>19.03</v>
          </cell>
          <cell r="K569">
            <v>19.117699999999999</v>
          </cell>
        </row>
        <row r="570">
          <cell r="A570">
            <v>30431</v>
          </cell>
          <cell r="J570">
            <v>18.149999999999999</v>
          </cell>
          <cell r="K570">
            <v>18.474799999999998</v>
          </cell>
        </row>
        <row r="571">
          <cell r="A571">
            <v>30432</v>
          </cell>
          <cell r="J571">
            <v>17.309999999999999</v>
          </cell>
          <cell r="K571">
            <v>18.5383</v>
          </cell>
        </row>
        <row r="572">
          <cell r="A572">
            <v>30433</v>
          </cell>
          <cell r="J572">
            <v>20.260000000000002</v>
          </cell>
          <cell r="K572">
            <v>18.856000000000002</v>
          </cell>
        </row>
        <row r="573">
          <cell r="A573">
            <v>30434</v>
          </cell>
          <cell r="J573">
            <v>20.47</v>
          </cell>
          <cell r="K573">
            <v>18.105499999999999</v>
          </cell>
        </row>
        <row r="574">
          <cell r="A574">
            <v>30435</v>
          </cell>
          <cell r="J574">
            <v>19.34</v>
          </cell>
          <cell r="K574">
            <v>17.801400000000001</v>
          </cell>
        </row>
        <row r="575">
          <cell r="A575">
            <v>30438</v>
          </cell>
          <cell r="J575">
            <v>18.93</v>
          </cell>
          <cell r="K575">
            <v>17.083500000000001</v>
          </cell>
        </row>
        <row r="576">
          <cell r="A576">
            <v>30439</v>
          </cell>
          <cell r="J576">
            <v>18</v>
          </cell>
          <cell r="K576">
            <v>16.661300000000001</v>
          </cell>
        </row>
        <row r="577">
          <cell r="A577">
            <v>30440</v>
          </cell>
          <cell r="J577">
            <v>17.66</v>
          </cell>
          <cell r="K577">
            <v>17.9117</v>
          </cell>
        </row>
        <row r="578">
          <cell r="A578">
            <v>30441</v>
          </cell>
          <cell r="J578">
            <v>18.329999999999998</v>
          </cell>
          <cell r="K578">
            <v>17.558199999999999</v>
          </cell>
        </row>
        <row r="579">
          <cell r="A579">
            <v>30442</v>
          </cell>
          <cell r="J579">
            <v>17.43</v>
          </cell>
          <cell r="K579">
            <v>17.160900000000002</v>
          </cell>
        </row>
        <row r="580">
          <cell r="A580">
            <v>30445</v>
          </cell>
          <cell r="J580">
            <v>16.670000000000002</v>
          </cell>
          <cell r="K580">
            <v>16.4801</v>
          </cell>
        </row>
        <row r="581">
          <cell r="A581">
            <v>30446</v>
          </cell>
          <cell r="J581">
            <v>16.010000000000002</v>
          </cell>
          <cell r="K581">
            <v>15.9381</v>
          </cell>
        </row>
        <row r="582">
          <cell r="A582">
            <v>30447</v>
          </cell>
          <cell r="J582">
            <v>15.48</v>
          </cell>
          <cell r="K582">
            <v>16.6219</v>
          </cell>
        </row>
        <row r="583">
          <cell r="A583">
            <v>30448</v>
          </cell>
          <cell r="J583">
            <v>15.56</v>
          </cell>
          <cell r="K583">
            <v>16.365500000000001</v>
          </cell>
        </row>
        <row r="584">
          <cell r="A584">
            <v>30449</v>
          </cell>
          <cell r="J584">
            <v>15.06</v>
          </cell>
          <cell r="K584">
            <v>16.028400000000001</v>
          </cell>
        </row>
        <row r="585">
          <cell r="A585">
            <v>30452</v>
          </cell>
          <cell r="J585">
            <v>15.01</v>
          </cell>
          <cell r="K585">
            <v>15.4824</v>
          </cell>
        </row>
        <row r="586">
          <cell r="A586">
            <v>30453</v>
          </cell>
          <cell r="J586">
            <v>16.239999999999998</v>
          </cell>
          <cell r="K586">
            <v>18.2563</v>
          </cell>
        </row>
        <row r="587">
          <cell r="A587">
            <v>30454</v>
          </cell>
          <cell r="J587">
            <v>16.64</v>
          </cell>
          <cell r="K587">
            <v>18.065100000000001</v>
          </cell>
        </row>
        <row r="588">
          <cell r="A588">
            <v>30455</v>
          </cell>
          <cell r="J588">
            <v>15.95</v>
          </cell>
          <cell r="K588">
            <v>17.376000000000001</v>
          </cell>
        </row>
        <row r="589">
          <cell r="A589">
            <v>30456</v>
          </cell>
          <cell r="J589">
            <v>15.87</v>
          </cell>
          <cell r="K589">
            <v>17.5228</v>
          </cell>
        </row>
        <row r="590">
          <cell r="A590">
            <v>30459</v>
          </cell>
          <cell r="J590">
            <v>16.89</v>
          </cell>
          <cell r="K590">
            <v>19.040700000000001</v>
          </cell>
        </row>
        <row r="591">
          <cell r="A591">
            <v>30460</v>
          </cell>
          <cell r="J591">
            <v>16.829999999999998</v>
          </cell>
          <cell r="K591">
            <v>18.543600000000001</v>
          </cell>
        </row>
        <row r="592">
          <cell r="A592">
            <v>30461</v>
          </cell>
          <cell r="J592">
            <v>16.47</v>
          </cell>
          <cell r="K592">
            <v>19.035799999999998</v>
          </cell>
        </row>
        <row r="593">
          <cell r="A593">
            <v>30462</v>
          </cell>
          <cell r="J593">
            <v>16.899999999999999</v>
          </cell>
          <cell r="K593">
            <v>18.2117</v>
          </cell>
        </row>
        <row r="594">
          <cell r="A594">
            <v>30463</v>
          </cell>
          <cell r="J594">
            <v>16.21</v>
          </cell>
          <cell r="K594">
            <v>18.087299999999999</v>
          </cell>
        </row>
        <row r="595">
          <cell r="A595">
            <v>30466</v>
          </cell>
          <cell r="J595">
            <v>19.37</v>
          </cell>
          <cell r="K595">
            <v>18.870100000000001</v>
          </cell>
        </row>
        <row r="596">
          <cell r="A596">
            <v>30467</v>
          </cell>
          <cell r="J596">
            <v>18.940000000000001</v>
          </cell>
          <cell r="K596">
            <v>18.911100000000001</v>
          </cell>
        </row>
        <row r="597">
          <cell r="A597">
            <v>30468</v>
          </cell>
          <cell r="J597">
            <v>17.95</v>
          </cell>
          <cell r="K597">
            <v>18.4863</v>
          </cell>
        </row>
        <row r="598">
          <cell r="A598">
            <v>30469</v>
          </cell>
          <cell r="J598">
            <v>22.54</v>
          </cell>
          <cell r="K598">
            <v>22.327999999999999</v>
          </cell>
        </row>
        <row r="599">
          <cell r="A599">
            <v>30470</v>
          </cell>
          <cell r="J599">
            <v>20.99</v>
          </cell>
          <cell r="K599">
            <v>20.961400000000001</v>
          </cell>
        </row>
        <row r="600">
          <cell r="A600">
            <v>30473</v>
          </cell>
          <cell r="J600">
            <v>20.260000000000002</v>
          </cell>
          <cell r="K600">
            <v>20.049600000000002</v>
          </cell>
        </row>
        <row r="601">
          <cell r="A601">
            <v>30474</v>
          </cell>
          <cell r="J601">
            <v>20.04</v>
          </cell>
          <cell r="K601">
            <v>19.345500000000001</v>
          </cell>
        </row>
        <row r="602">
          <cell r="A602">
            <v>30475</v>
          </cell>
          <cell r="J602">
            <v>19.14</v>
          </cell>
          <cell r="K602">
            <v>18.751100000000001</v>
          </cell>
        </row>
        <row r="603">
          <cell r="A603">
            <v>30476</v>
          </cell>
          <cell r="J603">
            <v>21.06</v>
          </cell>
          <cell r="K603">
            <v>19.128399999999999</v>
          </cell>
        </row>
        <row r="604">
          <cell r="A604">
            <v>30477</v>
          </cell>
          <cell r="J604">
            <v>20.05</v>
          </cell>
          <cell r="K604">
            <v>18.307099999999998</v>
          </cell>
        </row>
        <row r="605">
          <cell r="A605">
            <v>30480</v>
          </cell>
          <cell r="J605">
            <v>18.87</v>
          </cell>
          <cell r="K605">
            <v>17.5732</v>
          </cell>
        </row>
        <row r="606">
          <cell r="A606">
            <v>30481</v>
          </cell>
          <cell r="J606">
            <v>17.86</v>
          </cell>
          <cell r="K606">
            <v>18.725999999999999</v>
          </cell>
        </row>
        <row r="607">
          <cell r="A607">
            <v>30482</v>
          </cell>
          <cell r="J607">
            <v>19.239999999999998</v>
          </cell>
          <cell r="K607">
            <v>18.982299999999999</v>
          </cell>
        </row>
        <row r="608">
          <cell r="A608">
            <v>30483</v>
          </cell>
          <cell r="J608">
            <v>22.32</v>
          </cell>
          <cell r="K608">
            <v>20.4739</v>
          </cell>
        </row>
        <row r="609">
          <cell r="A609">
            <v>30484</v>
          </cell>
          <cell r="J609">
            <v>20.81</v>
          </cell>
          <cell r="K609">
            <v>20.3644</v>
          </cell>
        </row>
        <row r="610">
          <cell r="A610">
            <v>30487</v>
          </cell>
          <cell r="J610">
            <v>19.53</v>
          </cell>
          <cell r="K610">
            <v>19.215900000000001</v>
          </cell>
        </row>
        <row r="611">
          <cell r="A611">
            <v>30488</v>
          </cell>
          <cell r="J611">
            <v>21.4</v>
          </cell>
          <cell r="K611">
            <v>20.1129</v>
          </cell>
        </row>
        <row r="612">
          <cell r="A612">
            <v>30489</v>
          </cell>
          <cell r="J612">
            <v>20.18</v>
          </cell>
          <cell r="K612">
            <v>19.166399999999999</v>
          </cell>
        </row>
        <row r="613">
          <cell r="A613">
            <v>30490</v>
          </cell>
          <cell r="J613">
            <v>22.28</v>
          </cell>
          <cell r="K613">
            <v>19.0472</v>
          </cell>
        </row>
        <row r="614">
          <cell r="A614">
            <v>30491</v>
          </cell>
          <cell r="J614">
            <v>21.27</v>
          </cell>
          <cell r="K614">
            <v>18.599699999999999</v>
          </cell>
        </row>
        <row r="615">
          <cell r="A615">
            <v>30494</v>
          </cell>
          <cell r="J615">
            <v>20.28</v>
          </cell>
          <cell r="K615">
            <v>17.8644</v>
          </cell>
        </row>
        <row r="616">
          <cell r="A616">
            <v>30495</v>
          </cell>
          <cell r="J616">
            <v>20.3</v>
          </cell>
          <cell r="K616">
            <v>17.194800000000001</v>
          </cell>
        </row>
        <row r="617">
          <cell r="A617">
            <v>30496</v>
          </cell>
          <cell r="J617">
            <v>21.05</v>
          </cell>
          <cell r="K617">
            <v>19.9208</v>
          </cell>
        </row>
        <row r="618">
          <cell r="A618">
            <v>30497</v>
          </cell>
          <cell r="J618">
            <v>19.98</v>
          </cell>
          <cell r="K618">
            <v>19.346</v>
          </cell>
        </row>
        <row r="619">
          <cell r="A619">
            <v>30498</v>
          </cell>
          <cell r="J619">
            <v>18.8</v>
          </cell>
          <cell r="K619">
            <v>18.4724</v>
          </cell>
        </row>
        <row r="620">
          <cell r="A620">
            <v>30501</v>
          </cell>
          <cell r="J620">
            <v>17.95</v>
          </cell>
          <cell r="K620">
            <v>17.930900000000001</v>
          </cell>
        </row>
        <row r="621">
          <cell r="A621">
            <v>30502</v>
          </cell>
          <cell r="J621">
            <v>17.84</v>
          </cell>
          <cell r="K621">
            <v>18.430199999999999</v>
          </cell>
        </row>
        <row r="622">
          <cell r="A622">
            <v>30503</v>
          </cell>
          <cell r="J622">
            <v>17.41</v>
          </cell>
          <cell r="K622">
            <v>18.369399999999999</v>
          </cell>
        </row>
        <row r="623">
          <cell r="A623">
            <v>30504</v>
          </cell>
          <cell r="J623">
            <v>17.34</v>
          </cell>
          <cell r="K623">
            <v>17.691299999999998</v>
          </cell>
        </row>
        <row r="624">
          <cell r="A624">
            <v>30505</v>
          </cell>
          <cell r="J624">
            <v>17.27</v>
          </cell>
          <cell r="K624">
            <v>17.386199999999999</v>
          </cell>
        </row>
        <row r="625">
          <cell r="A625">
            <v>30508</v>
          </cell>
          <cell r="J625">
            <v>16.739999999999998</v>
          </cell>
          <cell r="K625">
            <v>17.384399999999999</v>
          </cell>
        </row>
        <row r="626">
          <cell r="A626">
            <v>30509</v>
          </cell>
          <cell r="J626">
            <v>16.399999999999999</v>
          </cell>
          <cell r="K626">
            <v>17.280100000000001</v>
          </cell>
        </row>
        <row r="627">
          <cell r="A627">
            <v>30510</v>
          </cell>
          <cell r="J627">
            <v>16.11</v>
          </cell>
          <cell r="K627">
            <v>18.874199999999998</v>
          </cell>
        </row>
        <row r="628">
          <cell r="A628">
            <v>30511</v>
          </cell>
          <cell r="J628">
            <v>16.21</v>
          </cell>
          <cell r="K628">
            <v>19.639099999999999</v>
          </cell>
        </row>
        <row r="629">
          <cell r="A629">
            <v>30512</v>
          </cell>
          <cell r="J629">
            <v>15.6</v>
          </cell>
          <cell r="K629">
            <v>19.297899999999998</v>
          </cell>
        </row>
        <row r="630">
          <cell r="A630">
            <v>30515</v>
          </cell>
          <cell r="J630">
            <v>16.98</v>
          </cell>
          <cell r="K630">
            <v>20.9375</v>
          </cell>
        </row>
        <row r="631">
          <cell r="A631">
            <v>30516</v>
          </cell>
          <cell r="J631">
            <v>16.579999999999998</v>
          </cell>
          <cell r="K631">
            <v>19.887499999999999</v>
          </cell>
        </row>
        <row r="632">
          <cell r="A632">
            <v>30517</v>
          </cell>
          <cell r="J632">
            <v>15.96</v>
          </cell>
          <cell r="K632">
            <v>18.8003</v>
          </cell>
        </row>
        <row r="633">
          <cell r="A633">
            <v>30518</v>
          </cell>
          <cell r="J633">
            <v>16.41</v>
          </cell>
          <cell r="K633">
            <v>19.697500000000002</v>
          </cell>
        </row>
        <row r="634">
          <cell r="A634">
            <v>30519</v>
          </cell>
          <cell r="J634">
            <v>16.09</v>
          </cell>
          <cell r="K634">
            <v>18.674800000000001</v>
          </cell>
        </row>
        <row r="635">
          <cell r="A635">
            <v>30522</v>
          </cell>
          <cell r="J635">
            <v>15.53</v>
          </cell>
          <cell r="K635">
            <v>18.226800000000001</v>
          </cell>
        </row>
        <row r="636">
          <cell r="A636">
            <v>30523</v>
          </cell>
          <cell r="J636">
            <v>15.34</v>
          </cell>
          <cell r="K636">
            <v>18.4176</v>
          </cell>
        </row>
        <row r="637">
          <cell r="A637">
            <v>30524</v>
          </cell>
          <cell r="J637">
            <v>15.59</v>
          </cell>
          <cell r="K637">
            <v>17.9405</v>
          </cell>
        </row>
        <row r="638">
          <cell r="A638">
            <v>30525</v>
          </cell>
          <cell r="J638">
            <v>15.08</v>
          </cell>
          <cell r="K638">
            <v>17.490600000000001</v>
          </cell>
        </row>
        <row r="639">
          <cell r="A639">
            <v>30526</v>
          </cell>
          <cell r="J639">
            <v>15.9</v>
          </cell>
          <cell r="K639">
            <v>17.8795</v>
          </cell>
        </row>
        <row r="640">
          <cell r="A640">
            <v>30529</v>
          </cell>
          <cell r="J640">
            <v>18.829999999999998</v>
          </cell>
          <cell r="K640">
            <v>20.920400000000001</v>
          </cell>
        </row>
        <row r="641">
          <cell r="A641">
            <v>30530</v>
          </cell>
          <cell r="J641">
            <v>19.239999999999998</v>
          </cell>
          <cell r="K641">
            <v>21.781500000000001</v>
          </cell>
        </row>
        <row r="642">
          <cell r="A642">
            <v>30531</v>
          </cell>
          <cell r="J642">
            <v>18.16</v>
          </cell>
          <cell r="K642">
            <v>20.584299999999999</v>
          </cell>
        </row>
        <row r="643">
          <cell r="A643">
            <v>30532</v>
          </cell>
          <cell r="J643">
            <v>17.37</v>
          </cell>
          <cell r="K643">
            <v>19.2822</v>
          </cell>
        </row>
        <row r="644">
          <cell r="A644">
            <v>30533</v>
          </cell>
          <cell r="J644">
            <v>19.41</v>
          </cell>
          <cell r="K644">
            <v>18.712800000000001</v>
          </cell>
        </row>
        <row r="645">
          <cell r="A645">
            <v>30536</v>
          </cell>
          <cell r="J645">
            <v>22.47</v>
          </cell>
          <cell r="K645">
            <v>21.013999999999999</v>
          </cell>
        </row>
        <row r="646">
          <cell r="A646">
            <v>30537</v>
          </cell>
          <cell r="J646">
            <v>21.89</v>
          </cell>
          <cell r="K646">
            <v>21.886399999999998</v>
          </cell>
        </row>
        <row r="647">
          <cell r="A647">
            <v>30538</v>
          </cell>
          <cell r="J647">
            <v>20.47</v>
          </cell>
          <cell r="K647">
            <v>20.543500000000002</v>
          </cell>
        </row>
        <row r="648">
          <cell r="A648">
            <v>30539</v>
          </cell>
          <cell r="J648">
            <v>19.579999999999998</v>
          </cell>
          <cell r="K648">
            <v>20.285799999999998</v>
          </cell>
        </row>
        <row r="649">
          <cell r="A649">
            <v>30540</v>
          </cell>
          <cell r="J649">
            <v>18.61</v>
          </cell>
          <cell r="K649">
            <v>19.3032</v>
          </cell>
        </row>
        <row r="650">
          <cell r="A650">
            <v>30543</v>
          </cell>
          <cell r="J650">
            <v>17.63</v>
          </cell>
          <cell r="K650">
            <v>18.380199999999999</v>
          </cell>
        </row>
        <row r="651">
          <cell r="A651">
            <v>30544</v>
          </cell>
          <cell r="J651">
            <v>16.850000000000001</v>
          </cell>
          <cell r="K651">
            <v>18.909300000000002</v>
          </cell>
        </row>
        <row r="652">
          <cell r="A652">
            <v>30545</v>
          </cell>
          <cell r="J652">
            <v>17.07</v>
          </cell>
          <cell r="K652">
            <v>18.004799999999999</v>
          </cell>
        </row>
        <row r="653">
          <cell r="A653">
            <v>30546</v>
          </cell>
          <cell r="J653">
            <v>19.87</v>
          </cell>
          <cell r="K653">
            <v>18.499700000000001</v>
          </cell>
        </row>
        <row r="654">
          <cell r="A654">
            <v>30547</v>
          </cell>
          <cell r="J654">
            <v>20.149999999999999</v>
          </cell>
          <cell r="K654">
            <v>17.9604</v>
          </cell>
        </row>
        <row r="655">
          <cell r="A655">
            <v>30550</v>
          </cell>
          <cell r="J655">
            <v>19.02</v>
          </cell>
          <cell r="K655">
            <v>19.0304</v>
          </cell>
        </row>
        <row r="656">
          <cell r="A656">
            <v>30551</v>
          </cell>
          <cell r="J656">
            <v>18.82</v>
          </cell>
          <cell r="K656">
            <v>18.298300000000001</v>
          </cell>
        </row>
        <row r="657">
          <cell r="A657">
            <v>30552</v>
          </cell>
          <cell r="J657">
            <v>18.43</v>
          </cell>
          <cell r="K657">
            <v>18.852</v>
          </cell>
        </row>
        <row r="658">
          <cell r="A658">
            <v>30553</v>
          </cell>
          <cell r="J658">
            <v>17.46</v>
          </cell>
          <cell r="K658">
            <v>19.793399999999998</v>
          </cell>
        </row>
        <row r="659">
          <cell r="A659">
            <v>30554</v>
          </cell>
          <cell r="J659">
            <v>16.940000000000001</v>
          </cell>
          <cell r="K659">
            <v>19.6831</v>
          </cell>
        </row>
        <row r="660">
          <cell r="A660">
            <v>30557</v>
          </cell>
          <cell r="J660">
            <v>18.45</v>
          </cell>
          <cell r="K660">
            <v>19.748100000000001</v>
          </cell>
        </row>
        <row r="661">
          <cell r="A661">
            <v>30558</v>
          </cell>
          <cell r="J661">
            <v>19.37</v>
          </cell>
          <cell r="K661">
            <v>20.1858</v>
          </cell>
        </row>
        <row r="662">
          <cell r="A662">
            <v>30559</v>
          </cell>
          <cell r="J662">
            <v>19.02</v>
          </cell>
          <cell r="K662">
            <v>19.3506</v>
          </cell>
        </row>
        <row r="663">
          <cell r="A663">
            <v>30560</v>
          </cell>
          <cell r="J663">
            <v>19.55</v>
          </cell>
          <cell r="K663">
            <v>19.2803</v>
          </cell>
        </row>
        <row r="664">
          <cell r="A664">
            <v>30561</v>
          </cell>
          <cell r="J664">
            <v>18.440000000000001</v>
          </cell>
          <cell r="K664">
            <v>18.6755</v>
          </cell>
        </row>
        <row r="665">
          <cell r="A665">
            <v>30564</v>
          </cell>
          <cell r="J665">
            <v>19.46</v>
          </cell>
          <cell r="K665">
            <v>19.148599999999998</v>
          </cell>
        </row>
        <row r="666">
          <cell r="A666">
            <v>30565</v>
          </cell>
          <cell r="J666">
            <v>19.350000000000001</v>
          </cell>
          <cell r="K666">
            <v>18.340299999999999</v>
          </cell>
        </row>
        <row r="667">
          <cell r="A667">
            <v>30566</v>
          </cell>
          <cell r="J667">
            <v>18.55</v>
          </cell>
          <cell r="K667">
            <v>17.717400000000001</v>
          </cell>
        </row>
        <row r="668">
          <cell r="A668">
            <v>30567</v>
          </cell>
          <cell r="J668">
            <v>18.47</v>
          </cell>
          <cell r="K668">
            <v>18.134399999999999</v>
          </cell>
        </row>
        <row r="669">
          <cell r="A669">
            <v>30568</v>
          </cell>
          <cell r="J669">
            <v>17.5</v>
          </cell>
          <cell r="K669">
            <v>17.227799999999998</v>
          </cell>
        </row>
        <row r="670">
          <cell r="A670">
            <v>30571</v>
          </cell>
          <cell r="J670">
            <v>16.72</v>
          </cell>
          <cell r="K670">
            <v>16.694400000000002</v>
          </cell>
        </row>
        <row r="671">
          <cell r="A671">
            <v>30572</v>
          </cell>
          <cell r="J671">
            <v>16.399999999999999</v>
          </cell>
          <cell r="K671">
            <v>16.390899999999998</v>
          </cell>
        </row>
        <row r="672">
          <cell r="A672">
            <v>30573</v>
          </cell>
          <cell r="J672">
            <v>19.600000000000001</v>
          </cell>
          <cell r="K672">
            <v>20.898299999999999</v>
          </cell>
        </row>
        <row r="673">
          <cell r="A673">
            <v>30574</v>
          </cell>
          <cell r="J673">
            <v>20.48</v>
          </cell>
          <cell r="K673">
            <v>20.227399999999999</v>
          </cell>
        </row>
        <row r="674">
          <cell r="A674">
            <v>30575</v>
          </cell>
          <cell r="J674">
            <v>19.23</v>
          </cell>
          <cell r="K674">
            <v>19.285799999999998</v>
          </cell>
        </row>
        <row r="675">
          <cell r="A675">
            <v>30578</v>
          </cell>
          <cell r="J675">
            <v>18.72</v>
          </cell>
          <cell r="K675">
            <v>18.496200000000002</v>
          </cell>
        </row>
        <row r="676">
          <cell r="A676">
            <v>30579</v>
          </cell>
          <cell r="J676">
            <v>17.87</v>
          </cell>
          <cell r="K676">
            <v>17.567799999999998</v>
          </cell>
        </row>
        <row r="677">
          <cell r="A677">
            <v>30580</v>
          </cell>
          <cell r="J677">
            <v>17.98</v>
          </cell>
          <cell r="K677">
            <v>17.097899999999999</v>
          </cell>
        </row>
        <row r="678">
          <cell r="A678">
            <v>30581</v>
          </cell>
          <cell r="J678">
            <v>17.16</v>
          </cell>
          <cell r="K678">
            <v>16.476700000000001</v>
          </cell>
        </row>
        <row r="679">
          <cell r="A679">
            <v>30582</v>
          </cell>
          <cell r="J679">
            <v>17.21</v>
          </cell>
          <cell r="K679">
            <v>16.0746</v>
          </cell>
        </row>
        <row r="680">
          <cell r="A680">
            <v>30585</v>
          </cell>
          <cell r="J680">
            <v>18.690000000000001</v>
          </cell>
          <cell r="K680">
            <v>15.917400000000001</v>
          </cell>
        </row>
        <row r="681">
          <cell r="A681">
            <v>30586</v>
          </cell>
          <cell r="J681">
            <v>19.93</v>
          </cell>
          <cell r="K681">
            <v>15.7751</v>
          </cell>
        </row>
        <row r="682">
          <cell r="A682">
            <v>30587</v>
          </cell>
          <cell r="J682">
            <v>19.57</v>
          </cell>
          <cell r="K682">
            <v>17.162600000000001</v>
          </cell>
        </row>
        <row r="683">
          <cell r="A683">
            <v>30588</v>
          </cell>
          <cell r="J683">
            <v>18.46</v>
          </cell>
          <cell r="K683">
            <v>16.286000000000001</v>
          </cell>
        </row>
        <row r="684">
          <cell r="A684">
            <v>30589</v>
          </cell>
          <cell r="J684">
            <v>17.53</v>
          </cell>
          <cell r="K684">
            <v>15.9026</v>
          </cell>
        </row>
        <row r="685">
          <cell r="A685">
            <v>30592</v>
          </cell>
          <cell r="J685">
            <v>16.809999999999999</v>
          </cell>
          <cell r="K685">
            <v>15.4682</v>
          </cell>
        </row>
        <row r="686">
          <cell r="A686">
            <v>30593</v>
          </cell>
          <cell r="J686">
            <v>16.55</v>
          </cell>
          <cell r="K686">
            <v>16.3081</v>
          </cell>
        </row>
        <row r="687">
          <cell r="A687">
            <v>30594</v>
          </cell>
          <cell r="J687">
            <v>16.61</v>
          </cell>
          <cell r="K687">
            <v>16.1312</v>
          </cell>
        </row>
        <row r="688">
          <cell r="A688">
            <v>30595</v>
          </cell>
          <cell r="J688">
            <v>15.95</v>
          </cell>
          <cell r="K688">
            <v>15.9368</v>
          </cell>
        </row>
        <row r="689">
          <cell r="A689">
            <v>30596</v>
          </cell>
          <cell r="J689">
            <v>16.350000000000001</v>
          </cell>
          <cell r="K689">
            <v>16.3842</v>
          </cell>
        </row>
        <row r="690">
          <cell r="A690">
            <v>30599</v>
          </cell>
          <cell r="J690">
            <v>17.440000000000001</v>
          </cell>
          <cell r="K690">
            <v>16.1449</v>
          </cell>
        </row>
        <row r="691">
          <cell r="A691">
            <v>30600</v>
          </cell>
          <cell r="J691">
            <v>18.57</v>
          </cell>
          <cell r="K691">
            <v>16.304099999999998</v>
          </cell>
        </row>
        <row r="692">
          <cell r="A692">
            <v>30601</v>
          </cell>
          <cell r="J692">
            <v>17.59</v>
          </cell>
          <cell r="K692">
            <v>15.737399999999999</v>
          </cell>
        </row>
        <row r="693">
          <cell r="A693">
            <v>30602</v>
          </cell>
          <cell r="J693">
            <v>19.03</v>
          </cell>
          <cell r="K693">
            <v>17.550899999999999</v>
          </cell>
        </row>
        <row r="694">
          <cell r="A694">
            <v>30603</v>
          </cell>
          <cell r="J694">
            <v>17.98</v>
          </cell>
          <cell r="K694">
            <v>17.066299999999998</v>
          </cell>
        </row>
        <row r="695">
          <cell r="A695">
            <v>30606</v>
          </cell>
          <cell r="J695">
            <v>17.25</v>
          </cell>
          <cell r="K695">
            <v>17.197199999999999</v>
          </cell>
        </row>
        <row r="696">
          <cell r="A696">
            <v>30607</v>
          </cell>
          <cell r="J696">
            <v>16.47</v>
          </cell>
          <cell r="K696">
            <v>16.762899999999998</v>
          </cell>
        </row>
        <row r="697">
          <cell r="A697">
            <v>30608</v>
          </cell>
          <cell r="J697">
            <v>15.95</v>
          </cell>
          <cell r="K697">
            <v>16.126000000000001</v>
          </cell>
        </row>
        <row r="698">
          <cell r="A698">
            <v>30609</v>
          </cell>
          <cell r="J698">
            <v>17.16</v>
          </cell>
          <cell r="K698">
            <v>16.5733</v>
          </cell>
        </row>
        <row r="699">
          <cell r="A699">
            <v>30610</v>
          </cell>
          <cell r="J699">
            <v>16.670000000000002</v>
          </cell>
          <cell r="K699">
            <v>16.041</v>
          </cell>
        </row>
        <row r="700">
          <cell r="A700">
            <v>30613</v>
          </cell>
          <cell r="J700">
            <v>16.03</v>
          </cell>
          <cell r="K700">
            <v>15.729100000000001</v>
          </cell>
        </row>
        <row r="701">
          <cell r="A701">
            <v>30614</v>
          </cell>
          <cell r="J701">
            <v>16.600000000000001</v>
          </cell>
          <cell r="K701">
            <v>17.1555</v>
          </cell>
        </row>
        <row r="702">
          <cell r="A702">
            <v>30615</v>
          </cell>
          <cell r="J702">
            <v>16.440000000000001</v>
          </cell>
          <cell r="K702">
            <v>16.841699999999999</v>
          </cell>
        </row>
        <row r="703">
          <cell r="A703">
            <v>30616</v>
          </cell>
          <cell r="J703">
            <v>16.010000000000002</v>
          </cell>
          <cell r="K703">
            <v>17.746400000000001</v>
          </cell>
        </row>
        <row r="704">
          <cell r="A704">
            <v>30617</v>
          </cell>
          <cell r="J704">
            <v>15.62</v>
          </cell>
          <cell r="K704">
            <v>17.799199999999999</v>
          </cell>
        </row>
        <row r="705">
          <cell r="A705">
            <v>30620</v>
          </cell>
          <cell r="J705">
            <v>15.11</v>
          </cell>
          <cell r="K705">
            <v>17.432400000000001</v>
          </cell>
        </row>
        <row r="706">
          <cell r="A706">
            <v>30621</v>
          </cell>
          <cell r="J706">
            <v>15.33</v>
          </cell>
          <cell r="K706">
            <v>16.8705</v>
          </cell>
        </row>
        <row r="707">
          <cell r="A707">
            <v>30622</v>
          </cell>
          <cell r="J707">
            <v>15.64</v>
          </cell>
          <cell r="K707">
            <v>16.754899999999999</v>
          </cell>
        </row>
        <row r="708">
          <cell r="A708">
            <v>30623</v>
          </cell>
          <cell r="J708">
            <v>15.73</v>
          </cell>
          <cell r="K708">
            <v>16.6707</v>
          </cell>
        </row>
        <row r="709">
          <cell r="A709">
            <v>30624</v>
          </cell>
          <cell r="J709">
            <v>15.2</v>
          </cell>
          <cell r="K709">
            <v>16.599599999999999</v>
          </cell>
        </row>
        <row r="710">
          <cell r="A710">
            <v>30627</v>
          </cell>
          <cell r="J710">
            <v>16.440000000000001</v>
          </cell>
          <cell r="K710">
            <v>17.542300000000001</v>
          </cell>
        </row>
        <row r="711">
          <cell r="A711">
            <v>30628</v>
          </cell>
          <cell r="J711">
            <v>16.41</v>
          </cell>
          <cell r="K711">
            <v>17.1828</v>
          </cell>
        </row>
        <row r="712">
          <cell r="A712">
            <v>30629</v>
          </cell>
          <cell r="J712">
            <v>15.76</v>
          </cell>
          <cell r="K712">
            <v>16.545200000000001</v>
          </cell>
        </row>
        <row r="713">
          <cell r="A713">
            <v>30630</v>
          </cell>
          <cell r="J713">
            <v>15.21</v>
          </cell>
          <cell r="K713">
            <v>15.8818</v>
          </cell>
        </row>
        <row r="714">
          <cell r="A714">
            <v>30631</v>
          </cell>
          <cell r="J714">
            <v>15.82</v>
          </cell>
          <cell r="K714">
            <v>16.298200000000001</v>
          </cell>
        </row>
        <row r="715">
          <cell r="A715">
            <v>30634</v>
          </cell>
          <cell r="J715">
            <v>15.42</v>
          </cell>
          <cell r="K715">
            <v>15.752700000000001</v>
          </cell>
        </row>
        <row r="716">
          <cell r="A716">
            <v>30635</v>
          </cell>
          <cell r="J716">
            <v>14.96</v>
          </cell>
          <cell r="K716">
            <v>15.158300000000001</v>
          </cell>
        </row>
        <row r="717">
          <cell r="A717">
            <v>30636</v>
          </cell>
          <cell r="J717">
            <v>14.55</v>
          </cell>
          <cell r="K717">
            <v>15.4061</v>
          </cell>
        </row>
        <row r="718">
          <cell r="A718">
            <v>30637</v>
          </cell>
          <cell r="J718">
            <v>14.22</v>
          </cell>
          <cell r="K718">
            <v>15.642799999999999</v>
          </cell>
        </row>
        <row r="719">
          <cell r="A719">
            <v>30638</v>
          </cell>
          <cell r="J719">
            <v>14.29</v>
          </cell>
          <cell r="K719">
            <v>16.5</v>
          </cell>
        </row>
        <row r="720">
          <cell r="A720">
            <v>30641</v>
          </cell>
          <cell r="J720">
            <v>14.06</v>
          </cell>
          <cell r="K720">
            <v>17.541699999999999</v>
          </cell>
        </row>
        <row r="721">
          <cell r="A721">
            <v>30642</v>
          </cell>
          <cell r="J721">
            <v>14.09</v>
          </cell>
          <cell r="K721">
            <v>16.9146</v>
          </cell>
        </row>
        <row r="722">
          <cell r="A722">
            <v>30643</v>
          </cell>
          <cell r="J722">
            <v>14.23</v>
          </cell>
          <cell r="K722">
            <v>16.286000000000001</v>
          </cell>
        </row>
        <row r="723">
          <cell r="A723">
            <v>30644</v>
          </cell>
          <cell r="J723">
            <v>15.29</v>
          </cell>
          <cell r="K723">
            <v>15.782299999999999</v>
          </cell>
        </row>
        <row r="724">
          <cell r="A724">
            <v>30645</v>
          </cell>
          <cell r="J724">
            <v>14.91</v>
          </cell>
          <cell r="K724">
            <v>15.2067</v>
          </cell>
        </row>
        <row r="725">
          <cell r="A725">
            <v>30648</v>
          </cell>
          <cell r="J725">
            <v>15.85</v>
          </cell>
          <cell r="K725">
            <v>14.9465</v>
          </cell>
        </row>
        <row r="726">
          <cell r="A726">
            <v>30649</v>
          </cell>
          <cell r="J726">
            <v>15.36</v>
          </cell>
          <cell r="K726">
            <v>14.553599999999999</v>
          </cell>
        </row>
        <row r="727">
          <cell r="A727">
            <v>30650</v>
          </cell>
          <cell r="J727">
            <v>19.41</v>
          </cell>
          <cell r="K727">
            <v>16.1492</v>
          </cell>
        </row>
        <row r="728">
          <cell r="A728">
            <v>30651</v>
          </cell>
          <cell r="J728">
            <v>19.07</v>
          </cell>
          <cell r="K728">
            <v>15.894600000000001</v>
          </cell>
        </row>
        <row r="729">
          <cell r="A729">
            <v>30652</v>
          </cell>
          <cell r="J729">
            <v>18.59</v>
          </cell>
          <cell r="K729">
            <v>16.081800000000001</v>
          </cell>
        </row>
        <row r="730">
          <cell r="A730">
            <v>30655</v>
          </cell>
          <cell r="J730">
            <v>17.600000000000001</v>
          </cell>
          <cell r="K730">
            <v>15.6366</v>
          </cell>
        </row>
        <row r="731">
          <cell r="A731">
            <v>30656</v>
          </cell>
          <cell r="J731">
            <v>17.28</v>
          </cell>
          <cell r="K731">
            <v>15.957700000000001</v>
          </cell>
        </row>
        <row r="732">
          <cell r="A732">
            <v>30657</v>
          </cell>
          <cell r="J732">
            <v>16.66</v>
          </cell>
          <cell r="K732">
            <v>15.462199999999999</v>
          </cell>
        </row>
        <row r="733">
          <cell r="A733">
            <v>30658</v>
          </cell>
          <cell r="J733">
            <v>16.02</v>
          </cell>
          <cell r="K733">
            <v>15.323</v>
          </cell>
        </row>
        <row r="734">
          <cell r="A734">
            <v>30659</v>
          </cell>
          <cell r="J734">
            <v>15.43</v>
          </cell>
          <cell r="K734">
            <v>14.8086</v>
          </cell>
        </row>
        <row r="735">
          <cell r="A735">
            <v>30662</v>
          </cell>
          <cell r="J735">
            <v>16.55</v>
          </cell>
          <cell r="K735">
            <v>16.482900000000001</v>
          </cell>
        </row>
        <row r="736">
          <cell r="A736">
            <v>30663</v>
          </cell>
          <cell r="J736">
            <v>15.89</v>
          </cell>
          <cell r="K736">
            <v>15.8872</v>
          </cell>
        </row>
        <row r="737">
          <cell r="A737">
            <v>30664</v>
          </cell>
          <cell r="J737">
            <v>16.059999999999999</v>
          </cell>
          <cell r="K737">
            <v>16.557099999999998</v>
          </cell>
        </row>
        <row r="738">
          <cell r="A738">
            <v>30665</v>
          </cell>
          <cell r="J738">
            <v>16.079999999999998</v>
          </cell>
          <cell r="K738">
            <v>16.372299999999999</v>
          </cell>
        </row>
        <row r="739">
          <cell r="A739">
            <v>30666</v>
          </cell>
          <cell r="J739">
            <v>17.920000000000002</v>
          </cell>
          <cell r="K739">
            <v>17.006900000000002</v>
          </cell>
        </row>
        <row r="740">
          <cell r="A740">
            <v>30669</v>
          </cell>
          <cell r="J740">
            <v>17.52</v>
          </cell>
          <cell r="K740">
            <v>16.6068</v>
          </cell>
        </row>
        <row r="741">
          <cell r="A741">
            <v>30670</v>
          </cell>
          <cell r="J741">
            <v>16.82</v>
          </cell>
          <cell r="K741">
            <v>16.1372</v>
          </cell>
        </row>
        <row r="742">
          <cell r="A742">
            <v>30671</v>
          </cell>
          <cell r="J742">
            <v>16.100000000000001</v>
          </cell>
          <cell r="K742">
            <v>15.6073</v>
          </cell>
        </row>
        <row r="743">
          <cell r="A743">
            <v>30672</v>
          </cell>
          <cell r="J743">
            <v>15.5</v>
          </cell>
          <cell r="K743">
            <v>15.0688</v>
          </cell>
        </row>
        <row r="744">
          <cell r="A744">
            <v>30673</v>
          </cell>
          <cell r="J744">
            <v>19.239999999999998</v>
          </cell>
          <cell r="K744">
            <v>15.7476</v>
          </cell>
        </row>
        <row r="745">
          <cell r="A745">
            <v>30676</v>
          </cell>
          <cell r="J745">
            <v>18.149999999999999</v>
          </cell>
          <cell r="K745">
            <v>15.2744</v>
          </cell>
        </row>
        <row r="746">
          <cell r="A746">
            <v>30677</v>
          </cell>
          <cell r="J746">
            <v>17.3</v>
          </cell>
          <cell r="K746">
            <v>14.8353</v>
          </cell>
        </row>
        <row r="747">
          <cell r="A747">
            <v>30678</v>
          </cell>
          <cell r="J747">
            <v>16.510000000000002</v>
          </cell>
          <cell r="K747">
            <v>14.4964</v>
          </cell>
        </row>
        <row r="748">
          <cell r="A748">
            <v>30679</v>
          </cell>
          <cell r="J748">
            <v>15.99</v>
          </cell>
          <cell r="K748">
            <v>14.0761</v>
          </cell>
        </row>
        <row r="749">
          <cell r="A749">
            <v>30680</v>
          </cell>
          <cell r="J749">
            <v>16.47</v>
          </cell>
          <cell r="K749">
            <v>14.065</v>
          </cell>
        </row>
        <row r="750">
          <cell r="A750">
            <v>30683</v>
          </cell>
          <cell r="J750">
            <v>15.8</v>
          </cell>
          <cell r="K750">
            <v>13.6555</v>
          </cell>
        </row>
        <row r="751">
          <cell r="A751">
            <v>30684</v>
          </cell>
          <cell r="J751">
            <v>15.33</v>
          </cell>
          <cell r="K751">
            <v>14.6584</v>
          </cell>
        </row>
        <row r="752">
          <cell r="A752">
            <v>30685</v>
          </cell>
          <cell r="J752">
            <v>17.809999999999999</v>
          </cell>
          <cell r="K752">
            <v>16.249300000000002</v>
          </cell>
        </row>
        <row r="753">
          <cell r="A753">
            <v>30686</v>
          </cell>
          <cell r="J753">
            <v>16.989999999999998</v>
          </cell>
          <cell r="K753">
            <v>16.350899999999999</v>
          </cell>
        </row>
        <row r="754">
          <cell r="A754">
            <v>30687</v>
          </cell>
          <cell r="J754">
            <v>21.1</v>
          </cell>
          <cell r="K754">
            <v>18.244700000000002</v>
          </cell>
        </row>
        <row r="755">
          <cell r="A755">
            <v>30690</v>
          </cell>
          <cell r="J755">
            <v>20.02</v>
          </cell>
          <cell r="K755">
            <v>17.826899999999998</v>
          </cell>
        </row>
        <row r="756">
          <cell r="A756">
            <v>30691</v>
          </cell>
          <cell r="J756">
            <v>19.22</v>
          </cell>
          <cell r="K756">
            <v>18.203600000000002</v>
          </cell>
        </row>
        <row r="757">
          <cell r="A757">
            <v>30692</v>
          </cell>
          <cell r="J757">
            <v>18.37</v>
          </cell>
          <cell r="K757">
            <v>17.63</v>
          </cell>
        </row>
        <row r="758">
          <cell r="A758">
            <v>30693</v>
          </cell>
          <cell r="J758">
            <v>19.09</v>
          </cell>
          <cell r="K758">
            <v>20.055599999999998</v>
          </cell>
        </row>
        <row r="759">
          <cell r="A759">
            <v>30694</v>
          </cell>
          <cell r="J759">
            <v>18.03</v>
          </cell>
          <cell r="K759">
            <v>18.8809</v>
          </cell>
        </row>
        <row r="760">
          <cell r="A760">
            <v>30697</v>
          </cell>
          <cell r="J760">
            <v>19.02</v>
          </cell>
          <cell r="K760">
            <v>18.9009</v>
          </cell>
        </row>
        <row r="761">
          <cell r="A761">
            <v>30698</v>
          </cell>
          <cell r="J761">
            <v>17.98</v>
          </cell>
          <cell r="K761">
            <v>17.925599999999999</v>
          </cell>
        </row>
        <row r="762">
          <cell r="A762">
            <v>30699</v>
          </cell>
          <cell r="J762">
            <v>17.11</v>
          </cell>
          <cell r="K762">
            <v>17.2818</v>
          </cell>
        </row>
        <row r="763">
          <cell r="A763">
            <v>30700</v>
          </cell>
          <cell r="J763">
            <v>16.399999999999999</v>
          </cell>
          <cell r="K763">
            <v>16.8355</v>
          </cell>
        </row>
        <row r="764">
          <cell r="A764">
            <v>30701</v>
          </cell>
          <cell r="J764">
            <v>15.76</v>
          </cell>
          <cell r="K764">
            <v>16.227699999999999</v>
          </cell>
        </row>
        <row r="765">
          <cell r="A765">
            <v>30704</v>
          </cell>
          <cell r="J765">
            <v>17.29</v>
          </cell>
          <cell r="K765">
            <v>16.786300000000001</v>
          </cell>
        </row>
        <row r="766">
          <cell r="A766">
            <v>30705</v>
          </cell>
          <cell r="J766">
            <v>16.510000000000002</v>
          </cell>
          <cell r="K766">
            <v>16.359100000000002</v>
          </cell>
        </row>
        <row r="767">
          <cell r="A767">
            <v>30706</v>
          </cell>
          <cell r="J767">
            <v>19.34</v>
          </cell>
          <cell r="K767">
            <v>18.7515</v>
          </cell>
        </row>
        <row r="768">
          <cell r="A768">
            <v>30707</v>
          </cell>
          <cell r="J768">
            <v>20.37</v>
          </cell>
          <cell r="K768">
            <v>20.520099999999999</v>
          </cell>
        </row>
        <row r="769">
          <cell r="A769">
            <v>30708</v>
          </cell>
          <cell r="J769">
            <v>23.54</v>
          </cell>
          <cell r="K769">
            <v>21.441800000000001</v>
          </cell>
        </row>
        <row r="770">
          <cell r="A770">
            <v>30711</v>
          </cell>
          <cell r="J770">
            <v>22.21</v>
          </cell>
          <cell r="K770">
            <v>20.442</v>
          </cell>
        </row>
        <row r="771">
          <cell r="A771">
            <v>30712</v>
          </cell>
          <cell r="J771">
            <v>21.58</v>
          </cell>
          <cell r="K771">
            <v>19.287500000000001</v>
          </cell>
        </row>
        <row r="772">
          <cell r="A772">
            <v>30713</v>
          </cell>
          <cell r="J772">
            <v>22.91</v>
          </cell>
          <cell r="K772">
            <v>19.7165</v>
          </cell>
        </row>
        <row r="773">
          <cell r="A773">
            <v>30714</v>
          </cell>
          <cell r="J773">
            <v>21.49</v>
          </cell>
          <cell r="K773">
            <v>19.1981</v>
          </cell>
        </row>
        <row r="774">
          <cell r="A774">
            <v>30715</v>
          </cell>
          <cell r="J774">
            <v>20.100000000000001</v>
          </cell>
          <cell r="K774">
            <v>18.619199999999999</v>
          </cell>
        </row>
        <row r="775">
          <cell r="A775">
            <v>30718</v>
          </cell>
          <cell r="J775">
            <v>19.54</v>
          </cell>
          <cell r="K775">
            <v>18.433199999999999</v>
          </cell>
        </row>
        <row r="776">
          <cell r="A776">
            <v>30719</v>
          </cell>
          <cell r="J776">
            <v>21.75</v>
          </cell>
          <cell r="K776">
            <v>24.288499999999999</v>
          </cell>
        </row>
        <row r="777">
          <cell r="A777">
            <v>30720</v>
          </cell>
          <cell r="J777">
            <v>21.89</v>
          </cell>
          <cell r="K777">
            <v>26.414200000000001</v>
          </cell>
        </row>
        <row r="778">
          <cell r="A778">
            <v>30721</v>
          </cell>
          <cell r="J778">
            <v>21.82</v>
          </cell>
          <cell r="K778">
            <v>24.816299999999998</v>
          </cell>
        </row>
        <row r="779">
          <cell r="A779">
            <v>30722</v>
          </cell>
          <cell r="J779">
            <v>21.09</v>
          </cell>
          <cell r="K779">
            <v>25.9436</v>
          </cell>
        </row>
        <row r="780">
          <cell r="A780">
            <v>30725</v>
          </cell>
          <cell r="J780">
            <v>19.739999999999998</v>
          </cell>
          <cell r="K780">
            <v>24.3415</v>
          </cell>
        </row>
        <row r="781">
          <cell r="A781">
            <v>30726</v>
          </cell>
          <cell r="J781">
            <v>19.23</v>
          </cell>
          <cell r="K781">
            <v>22.720199999999998</v>
          </cell>
        </row>
        <row r="782">
          <cell r="A782">
            <v>30727</v>
          </cell>
          <cell r="J782">
            <v>21.46</v>
          </cell>
          <cell r="K782">
            <v>22.027699999999999</v>
          </cell>
        </row>
        <row r="783">
          <cell r="A783">
            <v>30728</v>
          </cell>
          <cell r="J783">
            <v>22.93</v>
          </cell>
          <cell r="K783">
            <v>22.497900000000001</v>
          </cell>
        </row>
        <row r="784">
          <cell r="A784">
            <v>30729</v>
          </cell>
          <cell r="J784">
            <v>22.86</v>
          </cell>
          <cell r="K784">
            <v>22.618500000000001</v>
          </cell>
        </row>
        <row r="785">
          <cell r="A785">
            <v>30732</v>
          </cell>
          <cell r="J785">
            <v>21.9</v>
          </cell>
          <cell r="K785">
            <v>21.472799999999999</v>
          </cell>
        </row>
        <row r="786">
          <cell r="A786">
            <v>30733</v>
          </cell>
          <cell r="J786">
            <v>21.59</v>
          </cell>
          <cell r="K786">
            <v>20.7547</v>
          </cell>
        </row>
        <row r="787">
          <cell r="A787">
            <v>30734</v>
          </cell>
          <cell r="J787">
            <v>20.350000000000001</v>
          </cell>
          <cell r="K787">
            <v>21.518999999999998</v>
          </cell>
        </row>
        <row r="788">
          <cell r="A788">
            <v>30735</v>
          </cell>
          <cell r="J788">
            <v>19.52</v>
          </cell>
          <cell r="K788">
            <v>20.528300000000002</v>
          </cell>
        </row>
        <row r="789">
          <cell r="A789">
            <v>30736</v>
          </cell>
          <cell r="J789">
            <v>18.420000000000002</v>
          </cell>
          <cell r="K789">
            <v>19.451899999999998</v>
          </cell>
        </row>
        <row r="790">
          <cell r="A790">
            <v>30739</v>
          </cell>
          <cell r="J790">
            <v>20.54</v>
          </cell>
          <cell r="K790">
            <v>20.263100000000001</v>
          </cell>
        </row>
        <row r="791">
          <cell r="A791">
            <v>30740</v>
          </cell>
          <cell r="J791">
            <v>19.579999999999998</v>
          </cell>
          <cell r="K791">
            <v>19.144400000000001</v>
          </cell>
        </row>
        <row r="792">
          <cell r="A792">
            <v>30741</v>
          </cell>
          <cell r="J792">
            <v>19</v>
          </cell>
          <cell r="K792">
            <v>18.643000000000001</v>
          </cell>
        </row>
        <row r="793">
          <cell r="A793">
            <v>30742</v>
          </cell>
          <cell r="J793">
            <v>18.149999999999999</v>
          </cell>
          <cell r="K793">
            <v>17.796500000000002</v>
          </cell>
        </row>
        <row r="794">
          <cell r="A794">
            <v>30743</v>
          </cell>
          <cell r="J794">
            <v>17.28</v>
          </cell>
          <cell r="K794">
            <v>17.145700000000001</v>
          </cell>
        </row>
        <row r="795">
          <cell r="A795">
            <v>30746</v>
          </cell>
          <cell r="J795">
            <v>18.72</v>
          </cell>
          <cell r="K795">
            <v>18.488900000000001</v>
          </cell>
        </row>
        <row r="796">
          <cell r="A796">
            <v>30747</v>
          </cell>
          <cell r="J796">
            <v>17.71</v>
          </cell>
          <cell r="K796">
            <v>18.039300000000001</v>
          </cell>
        </row>
        <row r="797">
          <cell r="A797">
            <v>30748</v>
          </cell>
          <cell r="J797">
            <v>17.079999999999998</v>
          </cell>
          <cell r="K797">
            <v>17.511299999999999</v>
          </cell>
        </row>
        <row r="798">
          <cell r="A798">
            <v>30749</v>
          </cell>
          <cell r="J798">
            <v>17.38</v>
          </cell>
          <cell r="K798">
            <v>18.1387</v>
          </cell>
        </row>
        <row r="799">
          <cell r="A799">
            <v>30750</v>
          </cell>
          <cell r="J799">
            <v>18.57</v>
          </cell>
          <cell r="K799">
            <v>18.401499999999999</v>
          </cell>
        </row>
        <row r="800">
          <cell r="A800">
            <v>30753</v>
          </cell>
          <cell r="J800">
            <v>17.72</v>
          </cell>
          <cell r="K800">
            <v>17.962399999999999</v>
          </cell>
        </row>
        <row r="801">
          <cell r="A801">
            <v>30754</v>
          </cell>
          <cell r="J801">
            <v>19.77</v>
          </cell>
          <cell r="K801">
            <v>18.623899999999999</v>
          </cell>
        </row>
        <row r="802">
          <cell r="A802">
            <v>30755</v>
          </cell>
          <cell r="J802">
            <v>19.64</v>
          </cell>
          <cell r="K802">
            <v>18.331600000000002</v>
          </cell>
        </row>
        <row r="803">
          <cell r="A803">
            <v>30756</v>
          </cell>
          <cell r="J803">
            <v>18.510000000000002</v>
          </cell>
          <cell r="K803">
            <v>17.360900000000001</v>
          </cell>
        </row>
        <row r="804">
          <cell r="A804">
            <v>30757</v>
          </cell>
          <cell r="J804">
            <v>19.72</v>
          </cell>
          <cell r="K804">
            <v>17.341000000000001</v>
          </cell>
        </row>
        <row r="805">
          <cell r="A805">
            <v>30760</v>
          </cell>
          <cell r="J805">
            <v>19.100000000000001</v>
          </cell>
          <cell r="K805">
            <v>16.972000000000001</v>
          </cell>
        </row>
        <row r="806">
          <cell r="A806">
            <v>30761</v>
          </cell>
          <cell r="J806">
            <v>18.16</v>
          </cell>
          <cell r="K806">
            <v>20.2044</v>
          </cell>
        </row>
        <row r="807">
          <cell r="A807">
            <v>30762</v>
          </cell>
          <cell r="J807">
            <v>17.39</v>
          </cell>
          <cell r="K807">
            <v>19.173400000000001</v>
          </cell>
        </row>
        <row r="808">
          <cell r="A808">
            <v>30763</v>
          </cell>
          <cell r="J808">
            <v>17.38</v>
          </cell>
          <cell r="K808">
            <v>18.890799999999999</v>
          </cell>
        </row>
        <row r="809">
          <cell r="A809">
            <v>30764</v>
          </cell>
          <cell r="J809">
            <v>16.57</v>
          </cell>
          <cell r="K809">
            <v>18.1724</v>
          </cell>
        </row>
        <row r="810">
          <cell r="A810">
            <v>30767</v>
          </cell>
          <cell r="J810">
            <v>16.100000000000001</v>
          </cell>
          <cell r="K810">
            <v>17.265899999999998</v>
          </cell>
        </row>
        <row r="811">
          <cell r="A811">
            <v>30768</v>
          </cell>
          <cell r="J811">
            <v>16.29</v>
          </cell>
          <cell r="K811">
            <v>16.505800000000001</v>
          </cell>
        </row>
        <row r="812">
          <cell r="A812">
            <v>30769</v>
          </cell>
          <cell r="J812">
            <v>16.010000000000002</v>
          </cell>
          <cell r="K812">
            <v>15.867699999999999</v>
          </cell>
        </row>
        <row r="813">
          <cell r="A813">
            <v>30770</v>
          </cell>
          <cell r="J813">
            <v>16.2</v>
          </cell>
          <cell r="K813">
            <v>15.555899999999999</v>
          </cell>
        </row>
        <row r="814">
          <cell r="A814">
            <v>30771</v>
          </cell>
          <cell r="J814">
            <v>16.63</v>
          </cell>
          <cell r="K814">
            <v>15.502000000000001</v>
          </cell>
        </row>
        <row r="815">
          <cell r="A815">
            <v>30774</v>
          </cell>
          <cell r="J815">
            <v>16.3</v>
          </cell>
          <cell r="K815">
            <v>15.3261</v>
          </cell>
        </row>
        <row r="816">
          <cell r="A816">
            <v>30775</v>
          </cell>
          <cell r="J816">
            <v>15.7</v>
          </cell>
          <cell r="K816">
            <v>14.810700000000001</v>
          </cell>
        </row>
        <row r="817">
          <cell r="A817">
            <v>30776</v>
          </cell>
          <cell r="J817">
            <v>15.78</v>
          </cell>
          <cell r="K817">
            <v>16.971900000000002</v>
          </cell>
        </row>
        <row r="818">
          <cell r="A818">
            <v>30777</v>
          </cell>
          <cell r="J818">
            <v>16.09</v>
          </cell>
          <cell r="K818">
            <v>17.181699999999999</v>
          </cell>
        </row>
        <row r="819">
          <cell r="A819">
            <v>30778</v>
          </cell>
          <cell r="J819">
            <v>16.190000000000001</v>
          </cell>
          <cell r="K819">
            <v>16.9758</v>
          </cell>
        </row>
        <row r="820">
          <cell r="A820">
            <v>30781</v>
          </cell>
          <cell r="J820">
            <v>16.07</v>
          </cell>
          <cell r="K820">
            <v>17.781199999999998</v>
          </cell>
        </row>
        <row r="821">
          <cell r="A821">
            <v>30782</v>
          </cell>
          <cell r="J821">
            <v>16.43</v>
          </cell>
          <cell r="K821">
            <v>17.898499999999999</v>
          </cell>
        </row>
        <row r="822">
          <cell r="A822">
            <v>30783</v>
          </cell>
          <cell r="J822">
            <v>15.84</v>
          </cell>
          <cell r="K822">
            <v>17.018999999999998</v>
          </cell>
        </row>
        <row r="823">
          <cell r="A823">
            <v>30784</v>
          </cell>
          <cell r="J823">
            <v>15.98</v>
          </cell>
          <cell r="K823">
            <v>16.323699999999999</v>
          </cell>
        </row>
        <row r="824">
          <cell r="A824">
            <v>30785</v>
          </cell>
          <cell r="J824">
            <v>16.75</v>
          </cell>
          <cell r="K824">
            <v>16.3902</v>
          </cell>
        </row>
        <row r="825">
          <cell r="A825">
            <v>30788</v>
          </cell>
          <cell r="J825">
            <v>16.23</v>
          </cell>
          <cell r="K825">
            <v>15.9435</v>
          </cell>
        </row>
        <row r="826">
          <cell r="A826">
            <v>30789</v>
          </cell>
          <cell r="J826">
            <v>17.18</v>
          </cell>
          <cell r="K826">
            <v>17.809899999999999</v>
          </cell>
        </row>
        <row r="827">
          <cell r="A827">
            <v>30790</v>
          </cell>
          <cell r="J827">
            <v>16.41</v>
          </cell>
          <cell r="K827">
            <v>16.913900000000002</v>
          </cell>
        </row>
        <row r="828">
          <cell r="A828">
            <v>30791</v>
          </cell>
          <cell r="J828">
            <v>15.8</v>
          </cell>
          <cell r="K828">
            <v>16.97</v>
          </cell>
        </row>
        <row r="829">
          <cell r="A829">
            <v>30792</v>
          </cell>
          <cell r="J829">
            <v>15.33</v>
          </cell>
          <cell r="K829">
            <v>17.0032</v>
          </cell>
        </row>
        <row r="830">
          <cell r="A830">
            <v>30795</v>
          </cell>
          <cell r="J830">
            <v>14.94</v>
          </cell>
          <cell r="K830">
            <v>16.299199999999999</v>
          </cell>
        </row>
        <row r="831">
          <cell r="A831">
            <v>30796</v>
          </cell>
          <cell r="J831">
            <v>14.62</v>
          </cell>
          <cell r="K831">
            <v>15.923500000000001</v>
          </cell>
        </row>
        <row r="832">
          <cell r="A832">
            <v>30797</v>
          </cell>
          <cell r="J832">
            <v>15.83</v>
          </cell>
          <cell r="K832">
            <v>17.015999999999998</v>
          </cell>
        </row>
        <row r="833">
          <cell r="A833">
            <v>30798</v>
          </cell>
          <cell r="J833">
            <v>15.61</v>
          </cell>
          <cell r="K833">
            <v>16.5121</v>
          </cell>
        </row>
        <row r="834">
          <cell r="A834">
            <v>30799</v>
          </cell>
          <cell r="J834">
            <v>15.12</v>
          </cell>
          <cell r="K834">
            <v>15.776</v>
          </cell>
        </row>
        <row r="835">
          <cell r="A835">
            <v>30802</v>
          </cell>
          <cell r="J835">
            <v>15.84</v>
          </cell>
          <cell r="K835">
            <v>15.731999999999999</v>
          </cell>
        </row>
        <row r="836">
          <cell r="A836">
            <v>30803</v>
          </cell>
          <cell r="J836">
            <v>15.48</v>
          </cell>
          <cell r="K836">
            <v>15.8</v>
          </cell>
        </row>
        <row r="837">
          <cell r="A837">
            <v>30804</v>
          </cell>
          <cell r="J837">
            <v>15.55</v>
          </cell>
          <cell r="K837">
            <v>15.6792</v>
          </cell>
        </row>
        <row r="838">
          <cell r="A838">
            <v>30805</v>
          </cell>
          <cell r="J838">
            <v>15.81</v>
          </cell>
          <cell r="K838">
            <v>15.135</v>
          </cell>
        </row>
        <row r="839">
          <cell r="A839">
            <v>30806</v>
          </cell>
          <cell r="J839">
            <v>16.13</v>
          </cell>
          <cell r="K839">
            <v>14.824199999999999</v>
          </cell>
        </row>
        <row r="840">
          <cell r="A840">
            <v>30809</v>
          </cell>
          <cell r="J840">
            <v>16.96</v>
          </cell>
          <cell r="K840">
            <v>15.3986</v>
          </cell>
        </row>
        <row r="841">
          <cell r="A841">
            <v>30810</v>
          </cell>
          <cell r="J841">
            <v>18.260000000000002</v>
          </cell>
          <cell r="K841">
            <v>17.27</v>
          </cell>
        </row>
        <row r="842">
          <cell r="A842">
            <v>30811</v>
          </cell>
          <cell r="J842">
            <v>18.14</v>
          </cell>
          <cell r="K842">
            <v>17.942</v>
          </cell>
        </row>
        <row r="843">
          <cell r="A843">
            <v>30812</v>
          </cell>
          <cell r="J843">
            <v>17.25</v>
          </cell>
          <cell r="K843">
            <v>17.2256</v>
          </cell>
        </row>
        <row r="844">
          <cell r="A844">
            <v>30813</v>
          </cell>
          <cell r="J844">
            <v>17.62</v>
          </cell>
          <cell r="K844">
            <v>17.883900000000001</v>
          </cell>
        </row>
        <row r="845">
          <cell r="A845">
            <v>30816</v>
          </cell>
          <cell r="J845">
            <v>17.28</v>
          </cell>
          <cell r="K845">
            <v>18.145299999999999</v>
          </cell>
        </row>
        <row r="846">
          <cell r="A846">
            <v>30817</v>
          </cell>
          <cell r="J846">
            <v>18.670000000000002</v>
          </cell>
          <cell r="K846">
            <v>18.107399999999998</v>
          </cell>
        </row>
        <row r="847">
          <cell r="A847">
            <v>30818</v>
          </cell>
          <cell r="J847">
            <v>17.75</v>
          </cell>
          <cell r="K847">
            <v>17.193300000000001</v>
          </cell>
        </row>
        <row r="848">
          <cell r="A848">
            <v>30819</v>
          </cell>
          <cell r="J848">
            <v>18.170000000000002</v>
          </cell>
          <cell r="K848">
            <v>17.3371</v>
          </cell>
        </row>
        <row r="849">
          <cell r="A849">
            <v>30820</v>
          </cell>
          <cell r="J849">
            <v>17.510000000000002</v>
          </cell>
          <cell r="K849">
            <v>17.391200000000001</v>
          </cell>
        </row>
        <row r="850">
          <cell r="A850">
            <v>30823</v>
          </cell>
          <cell r="J850">
            <v>19.89</v>
          </cell>
          <cell r="K850">
            <v>18.927900000000001</v>
          </cell>
        </row>
        <row r="851">
          <cell r="A851">
            <v>30824</v>
          </cell>
          <cell r="J851">
            <v>19.34</v>
          </cell>
          <cell r="K851">
            <v>18.546299999999999</v>
          </cell>
        </row>
        <row r="852">
          <cell r="A852">
            <v>30825</v>
          </cell>
          <cell r="J852">
            <v>18.64</v>
          </cell>
          <cell r="K852">
            <v>19.571400000000001</v>
          </cell>
        </row>
        <row r="853">
          <cell r="A853">
            <v>30826</v>
          </cell>
          <cell r="J853">
            <v>18</v>
          </cell>
          <cell r="K853">
            <v>19.588899999999999</v>
          </cell>
        </row>
        <row r="854">
          <cell r="A854">
            <v>30827</v>
          </cell>
          <cell r="J854">
            <v>17.13</v>
          </cell>
          <cell r="K854">
            <v>21.9072</v>
          </cell>
        </row>
        <row r="855">
          <cell r="A855">
            <v>30830</v>
          </cell>
          <cell r="J855">
            <v>17.48</v>
          </cell>
          <cell r="K855">
            <v>20.8687</v>
          </cell>
        </row>
        <row r="856">
          <cell r="A856">
            <v>30831</v>
          </cell>
          <cell r="J856">
            <v>17.12</v>
          </cell>
          <cell r="K856">
            <v>19.760000000000002</v>
          </cell>
        </row>
        <row r="857">
          <cell r="A857">
            <v>30832</v>
          </cell>
          <cell r="J857">
            <v>16.47</v>
          </cell>
          <cell r="K857">
            <v>18.8401</v>
          </cell>
        </row>
        <row r="858">
          <cell r="A858">
            <v>30833</v>
          </cell>
          <cell r="J858">
            <v>15.98</v>
          </cell>
          <cell r="K858">
            <v>23.462900000000001</v>
          </cell>
        </row>
        <row r="859">
          <cell r="A859">
            <v>30834</v>
          </cell>
          <cell r="J859">
            <v>15.53</v>
          </cell>
          <cell r="K859">
            <v>22.078399999999998</v>
          </cell>
        </row>
        <row r="860">
          <cell r="A860">
            <v>30837</v>
          </cell>
          <cell r="J860">
            <v>15.19</v>
          </cell>
          <cell r="K860">
            <v>23.963899999999999</v>
          </cell>
        </row>
        <row r="861">
          <cell r="A861">
            <v>30838</v>
          </cell>
          <cell r="J861">
            <v>16.43</v>
          </cell>
          <cell r="K861">
            <v>23.841999999999999</v>
          </cell>
        </row>
        <row r="862">
          <cell r="A862">
            <v>30839</v>
          </cell>
          <cell r="J862">
            <v>15.92</v>
          </cell>
          <cell r="K862">
            <v>22.433</v>
          </cell>
        </row>
        <row r="863">
          <cell r="A863">
            <v>30840</v>
          </cell>
          <cell r="J863">
            <v>16.61</v>
          </cell>
          <cell r="K863">
            <v>21.219899999999999</v>
          </cell>
        </row>
        <row r="864">
          <cell r="A864">
            <v>30841</v>
          </cell>
          <cell r="J864">
            <v>16.11</v>
          </cell>
          <cell r="K864">
            <v>20.437000000000001</v>
          </cell>
        </row>
        <row r="865">
          <cell r="A865">
            <v>30844</v>
          </cell>
          <cell r="J865">
            <v>16.420000000000002</v>
          </cell>
          <cell r="K865">
            <v>19.755099999999999</v>
          </cell>
        </row>
        <row r="866">
          <cell r="A866">
            <v>30845</v>
          </cell>
          <cell r="J866">
            <v>15.97</v>
          </cell>
          <cell r="K866">
            <v>19.180399999999999</v>
          </cell>
        </row>
        <row r="867">
          <cell r="A867">
            <v>30846</v>
          </cell>
          <cell r="J867">
            <v>18.7</v>
          </cell>
          <cell r="K867">
            <v>20.4678</v>
          </cell>
        </row>
        <row r="868">
          <cell r="A868">
            <v>30847</v>
          </cell>
          <cell r="J868">
            <v>17.75</v>
          </cell>
          <cell r="K868">
            <v>19.799499999999998</v>
          </cell>
        </row>
        <row r="869">
          <cell r="A869">
            <v>30848</v>
          </cell>
          <cell r="J869">
            <v>17.2</v>
          </cell>
          <cell r="K869">
            <v>20.2364</v>
          </cell>
        </row>
        <row r="870">
          <cell r="A870">
            <v>30851</v>
          </cell>
          <cell r="J870">
            <v>21.43</v>
          </cell>
          <cell r="K870">
            <v>21.948499999999999</v>
          </cell>
        </row>
        <row r="871">
          <cell r="A871">
            <v>30852</v>
          </cell>
          <cell r="J871">
            <v>23.14</v>
          </cell>
          <cell r="K871">
            <v>22.1431</v>
          </cell>
        </row>
        <row r="872">
          <cell r="A872">
            <v>30853</v>
          </cell>
          <cell r="J872">
            <v>21.82</v>
          </cell>
          <cell r="K872">
            <v>20.866399999999999</v>
          </cell>
        </row>
        <row r="873">
          <cell r="A873">
            <v>30854</v>
          </cell>
          <cell r="J873">
            <v>20.43</v>
          </cell>
          <cell r="K873">
            <v>21.080400000000001</v>
          </cell>
        </row>
        <row r="874">
          <cell r="A874">
            <v>30855</v>
          </cell>
          <cell r="J874">
            <v>19.62</v>
          </cell>
          <cell r="K874">
            <v>20.003699999999998</v>
          </cell>
        </row>
        <row r="875">
          <cell r="A875">
            <v>30858</v>
          </cell>
          <cell r="J875">
            <v>19.37</v>
          </cell>
          <cell r="K875">
            <v>19.1737</v>
          </cell>
        </row>
        <row r="876">
          <cell r="A876">
            <v>30859</v>
          </cell>
          <cell r="J876">
            <v>18.32</v>
          </cell>
          <cell r="K876">
            <v>18.990600000000001</v>
          </cell>
        </row>
        <row r="877">
          <cell r="A877">
            <v>30860</v>
          </cell>
          <cell r="J877">
            <v>17.36</v>
          </cell>
          <cell r="K877">
            <v>18.3521</v>
          </cell>
        </row>
        <row r="878">
          <cell r="A878">
            <v>30861</v>
          </cell>
          <cell r="J878">
            <v>17.02</v>
          </cell>
          <cell r="K878">
            <v>17.863600000000002</v>
          </cell>
        </row>
        <row r="879">
          <cell r="A879">
            <v>30862</v>
          </cell>
          <cell r="J879">
            <v>16.3</v>
          </cell>
          <cell r="K879">
            <v>17.303999999999998</v>
          </cell>
        </row>
        <row r="880">
          <cell r="A880">
            <v>30865</v>
          </cell>
          <cell r="J880">
            <v>15.68</v>
          </cell>
          <cell r="K880">
            <v>17.141999999999999</v>
          </cell>
        </row>
        <row r="881">
          <cell r="A881">
            <v>30866</v>
          </cell>
          <cell r="J881">
            <v>16.28</v>
          </cell>
          <cell r="K881">
            <v>17.5151</v>
          </cell>
        </row>
        <row r="882">
          <cell r="A882">
            <v>30867</v>
          </cell>
          <cell r="J882">
            <v>15.67</v>
          </cell>
          <cell r="K882">
            <v>17.932600000000001</v>
          </cell>
        </row>
        <row r="883">
          <cell r="A883">
            <v>30868</v>
          </cell>
          <cell r="J883">
            <v>15.17</v>
          </cell>
          <cell r="K883">
            <v>17.193000000000001</v>
          </cell>
        </row>
        <row r="884">
          <cell r="A884">
            <v>30869</v>
          </cell>
          <cell r="J884">
            <v>15.01</v>
          </cell>
          <cell r="K884">
            <v>17.590499999999999</v>
          </cell>
        </row>
        <row r="885">
          <cell r="A885">
            <v>30872</v>
          </cell>
          <cell r="J885">
            <v>16.690000000000001</v>
          </cell>
          <cell r="K885">
            <v>19.362100000000002</v>
          </cell>
        </row>
        <row r="886">
          <cell r="A886">
            <v>30873</v>
          </cell>
          <cell r="J886">
            <v>17.75</v>
          </cell>
          <cell r="K886">
            <v>19.9847</v>
          </cell>
        </row>
        <row r="887">
          <cell r="A887">
            <v>30874</v>
          </cell>
          <cell r="J887">
            <v>16.93</v>
          </cell>
          <cell r="K887">
            <v>19.334599999999998</v>
          </cell>
        </row>
        <row r="888">
          <cell r="A888">
            <v>30875</v>
          </cell>
          <cell r="J888">
            <v>17.87</v>
          </cell>
          <cell r="K888">
            <v>21.563700000000001</v>
          </cell>
        </row>
        <row r="889">
          <cell r="A889">
            <v>30876</v>
          </cell>
          <cell r="J889">
            <v>20.97</v>
          </cell>
          <cell r="K889">
            <v>22.456499999999998</v>
          </cell>
        </row>
        <row r="890">
          <cell r="A890">
            <v>30879</v>
          </cell>
          <cell r="J890">
            <v>20.149999999999999</v>
          </cell>
          <cell r="K890">
            <v>21.424299999999999</v>
          </cell>
        </row>
        <row r="891">
          <cell r="A891">
            <v>30880</v>
          </cell>
          <cell r="J891">
            <v>18.96</v>
          </cell>
          <cell r="K891">
            <v>20.077100000000002</v>
          </cell>
        </row>
        <row r="892">
          <cell r="A892">
            <v>30881</v>
          </cell>
          <cell r="J892">
            <v>19.579999999999998</v>
          </cell>
          <cell r="K892">
            <v>19.810099999999998</v>
          </cell>
        </row>
        <row r="893">
          <cell r="A893">
            <v>30882</v>
          </cell>
          <cell r="J893">
            <v>19.29</v>
          </cell>
          <cell r="K893">
            <v>19.664400000000001</v>
          </cell>
        </row>
        <row r="894">
          <cell r="A894">
            <v>30883</v>
          </cell>
          <cell r="J894">
            <v>22.21</v>
          </cell>
          <cell r="K894">
            <v>20.601099999999999</v>
          </cell>
        </row>
        <row r="895">
          <cell r="A895">
            <v>30886</v>
          </cell>
          <cell r="J895">
            <v>24.66</v>
          </cell>
          <cell r="K895">
            <v>20.8888</v>
          </cell>
        </row>
        <row r="896">
          <cell r="A896">
            <v>30887</v>
          </cell>
          <cell r="J896">
            <v>23.1</v>
          </cell>
          <cell r="K896">
            <v>26.022400000000001</v>
          </cell>
        </row>
        <row r="897">
          <cell r="A897">
            <v>30888</v>
          </cell>
          <cell r="J897">
            <v>21.5</v>
          </cell>
          <cell r="K897">
            <v>24.202100000000002</v>
          </cell>
        </row>
        <row r="898">
          <cell r="A898">
            <v>30889</v>
          </cell>
          <cell r="J898">
            <v>20.2</v>
          </cell>
          <cell r="K898">
            <v>22.727699999999999</v>
          </cell>
        </row>
        <row r="899">
          <cell r="A899">
            <v>30890</v>
          </cell>
          <cell r="J899">
            <v>19.989999999999998</v>
          </cell>
          <cell r="K899">
            <v>22.036300000000001</v>
          </cell>
        </row>
        <row r="900">
          <cell r="A900">
            <v>30893</v>
          </cell>
          <cell r="J900">
            <v>19.670000000000002</v>
          </cell>
          <cell r="K900">
            <v>21.8934</v>
          </cell>
        </row>
        <row r="901">
          <cell r="A901">
            <v>30894</v>
          </cell>
          <cell r="J901">
            <v>22.12</v>
          </cell>
          <cell r="K901">
            <v>22.6799</v>
          </cell>
        </row>
        <row r="902">
          <cell r="A902">
            <v>30895</v>
          </cell>
          <cell r="J902">
            <v>21.19</v>
          </cell>
          <cell r="K902">
            <v>21.527200000000001</v>
          </cell>
        </row>
        <row r="903">
          <cell r="A903">
            <v>30896</v>
          </cell>
          <cell r="J903">
            <v>20.190000000000001</v>
          </cell>
          <cell r="K903">
            <v>20.558199999999999</v>
          </cell>
        </row>
        <row r="904">
          <cell r="A904">
            <v>30897</v>
          </cell>
          <cell r="J904">
            <v>22.62</v>
          </cell>
          <cell r="K904">
            <v>24.418600000000001</v>
          </cell>
        </row>
        <row r="905">
          <cell r="A905">
            <v>30900</v>
          </cell>
          <cell r="J905">
            <v>24.17</v>
          </cell>
          <cell r="K905">
            <v>27.767099999999999</v>
          </cell>
        </row>
        <row r="906">
          <cell r="A906">
            <v>30901</v>
          </cell>
          <cell r="J906">
            <v>23.33</v>
          </cell>
          <cell r="K906">
            <v>26.028700000000001</v>
          </cell>
        </row>
        <row r="907">
          <cell r="A907">
            <v>30902</v>
          </cell>
          <cell r="J907">
            <v>26.77</v>
          </cell>
          <cell r="K907">
            <v>26.859300000000001</v>
          </cell>
        </row>
        <row r="908">
          <cell r="A908">
            <v>30903</v>
          </cell>
          <cell r="J908">
            <v>24.76</v>
          </cell>
          <cell r="K908">
            <v>25.7224</v>
          </cell>
        </row>
        <row r="909">
          <cell r="A909">
            <v>30904</v>
          </cell>
          <cell r="J909">
            <v>22.99</v>
          </cell>
          <cell r="K909">
            <v>24.285799999999998</v>
          </cell>
        </row>
        <row r="910">
          <cell r="A910">
            <v>30907</v>
          </cell>
          <cell r="J910">
            <v>23.11</v>
          </cell>
          <cell r="K910">
            <v>25.3917</v>
          </cell>
        </row>
        <row r="911">
          <cell r="A911">
            <v>30908</v>
          </cell>
          <cell r="J911">
            <v>23.23</v>
          </cell>
          <cell r="K911">
            <v>26.6433</v>
          </cell>
        </row>
        <row r="912">
          <cell r="A912">
            <v>30909</v>
          </cell>
          <cell r="J912">
            <v>22.39</v>
          </cell>
          <cell r="K912">
            <v>25.6845</v>
          </cell>
        </row>
        <row r="913">
          <cell r="A913">
            <v>30910</v>
          </cell>
          <cell r="J913">
            <v>21.19</v>
          </cell>
          <cell r="K913">
            <v>24.7362</v>
          </cell>
        </row>
        <row r="914">
          <cell r="A914">
            <v>30911</v>
          </cell>
          <cell r="J914">
            <v>19.850000000000001</v>
          </cell>
          <cell r="K914">
            <v>22.995899999999999</v>
          </cell>
        </row>
        <row r="915">
          <cell r="A915">
            <v>30914</v>
          </cell>
          <cell r="J915">
            <v>18.829999999999998</v>
          </cell>
          <cell r="K915">
            <v>21.6035</v>
          </cell>
        </row>
        <row r="916">
          <cell r="A916">
            <v>30915</v>
          </cell>
          <cell r="J916">
            <v>17.940000000000001</v>
          </cell>
          <cell r="K916">
            <v>20.453600000000002</v>
          </cell>
        </row>
        <row r="917">
          <cell r="A917">
            <v>30916</v>
          </cell>
          <cell r="J917">
            <v>17.059999999999999</v>
          </cell>
          <cell r="K917">
            <v>19.272099999999998</v>
          </cell>
        </row>
        <row r="918">
          <cell r="A918">
            <v>30917</v>
          </cell>
          <cell r="J918">
            <v>18.309999999999999</v>
          </cell>
          <cell r="K918">
            <v>18.78</v>
          </cell>
        </row>
        <row r="919">
          <cell r="A919">
            <v>30918</v>
          </cell>
          <cell r="J919">
            <v>17.72</v>
          </cell>
          <cell r="K919">
            <v>17.949000000000002</v>
          </cell>
        </row>
        <row r="920">
          <cell r="A920">
            <v>30921</v>
          </cell>
          <cell r="J920">
            <v>18.940000000000001</v>
          </cell>
          <cell r="K920">
            <v>17.735900000000001</v>
          </cell>
        </row>
        <row r="921">
          <cell r="A921">
            <v>30922</v>
          </cell>
          <cell r="J921">
            <v>17.91</v>
          </cell>
          <cell r="K921">
            <v>17.857099999999999</v>
          </cell>
        </row>
        <row r="922">
          <cell r="A922">
            <v>30923</v>
          </cell>
          <cell r="J922">
            <v>17.54</v>
          </cell>
          <cell r="K922">
            <v>17.177399999999999</v>
          </cell>
        </row>
        <row r="923">
          <cell r="A923">
            <v>30924</v>
          </cell>
          <cell r="J923">
            <v>16.989999999999998</v>
          </cell>
          <cell r="K923">
            <v>16.8567</v>
          </cell>
        </row>
        <row r="924">
          <cell r="A924">
            <v>30925</v>
          </cell>
          <cell r="J924">
            <v>16.329999999999998</v>
          </cell>
          <cell r="K924">
            <v>16.6585</v>
          </cell>
        </row>
        <row r="925">
          <cell r="A925">
            <v>30928</v>
          </cell>
          <cell r="J925">
            <v>15.69</v>
          </cell>
          <cell r="K925">
            <v>15.976800000000001</v>
          </cell>
        </row>
        <row r="926">
          <cell r="A926">
            <v>30929</v>
          </cell>
          <cell r="J926">
            <v>15.8</v>
          </cell>
          <cell r="K926">
            <v>15.931100000000001</v>
          </cell>
        </row>
        <row r="927">
          <cell r="A927">
            <v>30930</v>
          </cell>
          <cell r="J927">
            <v>15.92</v>
          </cell>
          <cell r="K927">
            <v>18.190000000000001</v>
          </cell>
        </row>
        <row r="928">
          <cell r="A928">
            <v>30931</v>
          </cell>
          <cell r="J928">
            <v>16.46</v>
          </cell>
          <cell r="K928">
            <v>18.471800000000002</v>
          </cell>
        </row>
        <row r="929">
          <cell r="A929">
            <v>30932</v>
          </cell>
          <cell r="J929">
            <v>16.14</v>
          </cell>
          <cell r="K929">
            <v>18.037099999999999</v>
          </cell>
        </row>
        <row r="930">
          <cell r="A930">
            <v>30935</v>
          </cell>
          <cell r="J930">
            <v>15.79</v>
          </cell>
          <cell r="K930">
            <v>17.514800000000001</v>
          </cell>
        </row>
        <row r="931">
          <cell r="A931">
            <v>30936</v>
          </cell>
          <cell r="J931">
            <v>19.54</v>
          </cell>
          <cell r="K931">
            <v>19.845700000000001</v>
          </cell>
        </row>
        <row r="932">
          <cell r="A932">
            <v>30937</v>
          </cell>
          <cell r="J932">
            <v>19.12</v>
          </cell>
          <cell r="K932">
            <v>19.533999999999999</v>
          </cell>
        </row>
        <row r="933">
          <cell r="A933">
            <v>30938</v>
          </cell>
          <cell r="J933">
            <v>18.28</v>
          </cell>
          <cell r="K933">
            <v>18.5886</v>
          </cell>
        </row>
        <row r="934">
          <cell r="A934">
            <v>30939</v>
          </cell>
          <cell r="J934">
            <v>18.350000000000001</v>
          </cell>
          <cell r="K934">
            <v>18.008900000000001</v>
          </cell>
        </row>
        <row r="935">
          <cell r="A935">
            <v>30942</v>
          </cell>
          <cell r="J935">
            <v>17.440000000000001</v>
          </cell>
          <cell r="K935">
            <v>17.8185</v>
          </cell>
        </row>
        <row r="936">
          <cell r="A936">
            <v>30943</v>
          </cell>
          <cell r="J936">
            <v>19.440000000000001</v>
          </cell>
          <cell r="K936">
            <v>19.691199999999998</v>
          </cell>
        </row>
        <row r="937">
          <cell r="A937">
            <v>30944</v>
          </cell>
          <cell r="J937">
            <v>21.86</v>
          </cell>
          <cell r="K937">
            <v>21.964400000000001</v>
          </cell>
        </row>
        <row r="938">
          <cell r="A938">
            <v>30945</v>
          </cell>
          <cell r="J938">
            <v>20.399999999999999</v>
          </cell>
          <cell r="K938">
            <v>20.998899999999999</v>
          </cell>
        </row>
        <row r="939">
          <cell r="A939">
            <v>30946</v>
          </cell>
          <cell r="J939">
            <v>19.16</v>
          </cell>
          <cell r="K939">
            <v>19.714500000000001</v>
          </cell>
        </row>
        <row r="940">
          <cell r="A940">
            <v>30949</v>
          </cell>
          <cell r="J940">
            <v>22.16</v>
          </cell>
          <cell r="K940">
            <v>20.154800000000002</v>
          </cell>
        </row>
        <row r="941">
          <cell r="A941">
            <v>30950</v>
          </cell>
          <cell r="J941">
            <v>23.71</v>
          </cell>
          <cell r="K941">
            <v>20.535900000000002</v>
          </cell>
        </row>
        <row r="942">
          <cell r="A942">
            <v>30951</v>
          </cell>
          <cell r="J942">
            <v>24.21</v>
          </cell>
          <cell r="K942">
            <v>21.8125</v>
          </cell>
        </row>
        <row r="943">
          <cell r="A943">
            <v>30952</v>
          </cell>
          <cell r="J943">
            <v>22.6</v>
          </cell>
          <cell r="K943">
            <v>20.777000000000001</v>
          </cell>
        </row>
        <row r="944">
          <cell r="A944">
            <v>30953</v>
          </cell>
          <cell r="J944">
            <v>23.93</v>
          </cell>
          <cell r="K944">
            <v>21.596900000000002</v>
          </cell>
        </row>
        <row r="945">
          <cell r="A945">
            <v>30956</v>
          </cell>
          <cell r="J945">
            <v>22.84</v>
          </cell>
          <cell r="K945">
            <v>21.001899999999999</v>
          </cell>
        </row>
        <row r="946">
          <cell r="A946">
            <v>30957</v>
          </cell>
          <cell r="J946">
            <v>21.63</v>
          </cell>
          <cell r="K946">
            <v>21.682200000000002</v>
          </cell>
        </row>
        <row r="947">
          <cell r="A947">
            <v>30958</v>
          </cell>
          <cell r="J947">
            <v>20.25</v>
          </cell>
          <cell r="K947">
            <v>20.627099999999999</v>
          </cell>
        </row>
        <row r="948">
          <cell r="A948">
            <v>30959</v>
          </cell>
          <cell r="J948">
            <v>19.32</v>
          </cell>
          <cell r="K948">
            <v>19.4192</v>
          </cell>
        </row>
        <row r="949">
          <cell r="A949">
            <v>30960</v>
          </cell>
          <cell r="J949">
            <v>18.54</v>
          </cell>
          <cell r="K949">
            <v>18.821300000000001</v>
          </cell>
        </row>
        <row r="950">
          <cell r="A950">
            <v>30963</v>
          </cell>
          <cell r="J950">
            <v>17.59</v>
          </cell>
          <cell r="K950">
            <v>17.739599999999999</v>
          </cell>
        </row>
        <row r="951">
          <cell r="A951">
            <v>30964</v>
          </cell>
          <cell r="J951">
            <v>16.75</v>
          </cell>
          <cell r="K951">
            <v>16.857399999999998</v>
          </cell>
        </row>
        <row r="952">
          <cell r="A952">
            <v>30965</v>
          </cell>
          <cell r="J952">
            <v>17.14</v>
          </cell>
          <cell r="K952">
            <v>16.7578</v>
          </cell>
        </row>
        <row r="953">
          <cell r="A953">
            <v>30966</v>
          </cell>
          <cell r="J953">
            <v>16.59</v>
          </cell>
          <cell r="K953">
            <v>16.876999999999999</v>
          </cell>
        </row>
        <row r="954">
          <cell r="A954">
            <v>30967</v>
          </cell>
          <cell r="J954">
            <v>15.94</v>
          </cell>
          <cell r="K954">
            <v>16.1296</v>
          </cell>
        </row>
        <row r="955">
          <cell r="A955">
            <v>30970</v>
          </cell>
          <cell r="J955">
            <v>15.86</v>
          </cell>
          <cell r="K955">
            <v>15.566599999999999</v>
          </cell>
        </row>
        <row r="956">
          <cell r="A956">
            <v>30971</v>
          </cell>
          <cell r="J956">
            <v>18.21</v>
          </cell>
          <cell r="K956">
            <v>16.817499999999999</v>
          </cell>
        </row>
        <row r="957">
          <cell r="A957">
            <v>30972</v>
          </cell>
          <cell r="J957">
            <v>18.87</v>
          </cell>
          <cell r="K957">
            <v>19.042100000000001</v>
          </cell>
        </row>
        <row r="958">
          <cell r="A958">
            <v>30973</v>
          </cell>
          <cell r="J958">
            <v>17.91</v>
          </cell>
          <cell r="K958">
            <v>19.380700000000001</v>
          </cell>
        </row>
        <row r="959">
          <cell r="A959">
            <v>30974</v>
          </cell>
          <cell r="J959">
            <v>17.05</v>
          </cell>
          <cell r="K959">
            <v>19.578800000000001</v>
          </cell>
        </row>
        <row r="960">
          <cell r="A960">
            <v>30977</v>
          </cell>
          <cell r="J960">
            <v>17.78</v>
          </cell>
          <cell r="K960">
            <v>21.797699999999999</v>
          </cell>
        </row>
        <row r="961">
          <cell r="A961">
            <v>30978</v>
          </cell>
          <cell r="J961">
            <v>16.97</v>
          </cell>
          <cell r="K961">
            <v>20.5291</v>
          </cell>
        </row>
        <row r="962">
          <cell r="A962">
            <v>30979</v>
          </cell>
          <cell r="J962">
            <v>16.45</v>
          </cell>
          <cell r="K962">
            <v>19.793600000000001</v>
          </cell>
        </row>
        <row r="963">
          <cell r="A963">
            <v>30980</v>
          </cell>
          <cell r="J963">
            <v>18.86</v>
          </cell>
          <cell r="K963">
            <v>19.867999999999999</v>
          </cell>
        </row>
        <row r="964">
          <cell r="A964">
            <v>30981</v>
          </cell>
          <cell r="J964">
            <v>18.68</v>
          </cell>
          <cell r="K964">
            <v>18.971800000000002</v>
          </cell>
        </row>
        <row r="965">
          <cell r="A965">
            <v>30984</v>
          </cell>
          <cell r="J965">
            <v>18.600000000000001</v>
          </cell>
          <cell r="K965">
            <v>19.867799999999999</v>
          </cell>
        </row>
        <row r="966">
          <cell r="A966">
            <v>30985</v>
          </cell>
          <cell r="J966">
            <v>20.13</v>
          </cell>
          <cell r="K966">
            <v>20.656199999999998</v>
          </cell>
        </row>
        <row r="967">
          <cell r="A967">
            <v>30986</v>
          </cell>
          <cell r="J967">
            <v>19.11</v>
          </cell>
          <cell r="K967">
            <v>20.041</v>
          </cell>
        </row>
        <row r="968">
          <cell r="A968">
            <v>30987</v>
          </cell>
          <cell r="J968">
            <v>18.41</v>
          </cell>
          <cell r="K968">
            <v>19.0549</v>
          </cell>
        </row>
        <row r="969">
          <cell r="A969">
            <v>30988</v>
          </cell>
          <cell r="J969">
            <v>17.489999999999998</v>
          </cell>
          <cell r="K969">
            <v>18.375499999999999</v>
          </cell>
        </row>
        <row r="970">
          <cell r="A970">
            <v>30991</v>
          </cell>
          <cell r="J970">
            <v>19.27</v>
          </cell>
          <cell r="K970">
            <v>20.4497</v>
          </cell>
        </row>
        <row r="971">
          <cell r="A971">
            <v>30992</v>
          </cell>
          <cell r="J971">
            <v>18.29</v>
          </cell>
          <cell r="K971">
            <v>19.190999999999999</v>
          </cell>
        </row>
        <row r="972">
          <cell r="A972">
            <v>30993</v>
          </cell>
          <cell r="J972">
            <v>17.82</v>
          </cell>
          <cell r="K972">
            <v>18.361000000000001</v>
          </cell>
        </row>
        <row r="973">
          <cell r="A973">
            <v>30994</v>
          </cell>
          <cell r="J973">
            <v>16.95</v>
          </cell>
          <cell r="K973">
            <v>17.538499999999999</v>
          </cell>
        </row>
        <row r="974">
          <cell r="A974">
            <v>30995</v>
          </cell>
          <cell r="J974">
            <v>17.190000000000001</v>
          </cell>
          <cell r="K974">
            <v>17.1798</v>
          </cell>
        </row>
        <row r="975">
          <cell r="A975">
            <v>30998</v>
          </cell>
          <cell r="J975">
            <v>16.86</v>
          </cell>
          <cell r="K975">
            <v>16.7073</v>
          </cell>
        </row>
        <row r="976">
          <cell r="A976">
            <v>30999</v>
          </cell>
          <cell r="J976">
            <v>16.21</v>
          </cell>
          <cell r="K976">
            <v>16.392099999999999</v>
          </cell>
        </row>
        <row r="977">
          <cell r="A977">
            <v>31000</v>
          </cell>
          <cell r="J977">
            <v>15.9</v>
          </cell>
          <cell r="K977">
            <v>16.197500000000002</v>
          </cell>
        </row>
        <row r="978">
          <cell r="A978">
            <v>31001</v>
          </cell>
          <cell r="J978">
            <v>17.62</v>
          </cell>
          <cell r="K978">
            <v>17.928699999999999</v>
          </cell>
        </row>
        <row r="979">
          <cell r="A979">
            <v>31002</v>
          </cell>
          <cell r="J979">
            <v>16.78</v>
          </cell>
          <cell r="K979">
            <v>18.545300000000001</v>
          </cell>
        </row>
        <row r="980">
          <cell r="A980">
            <v>31005</v>
          </cell>
          <cell r="J980">
            <v>16.07</v>
          </cell>
          <cell r="K980">
            <v>17.731100000000001</v>
          </cell>
        </row>
        <row r="981">
          <cell r="A981">
            <v>31006</v>
          </cell>
          <cell r="J981">
            <v>17.57</v>
          </cell>
          <cell r="K981">
            <v>19.851800000000001</v>
          </cell>
        </row>
        <row r="982">
          <cell r="A982">
            <v>31007</v>
          </cell>
          <cell r="J982">
            <v>17.41</v>
          </cell>
          <cell r="K982">
            <v>19.4358</v>
          </cell>
        </row>
        <row r="983">
          <cell r="A983">
            <v>31008</v>
          </cell>
          <cell r="J983">
            <v>17.190000000000001</v>
          </cell>
          <cell r="K983">
            <v>19.165199999999999</v>
          </cell>
        </row>
        <row r="984">
          <cell r="A984">
            <v>31009</v>
          </cell>
          <cell r="J984">
            <v>16.41</v>
          </cell>
          <cell r="K984">
            <v>18.4817</v>
          </cell>
        </row>
        <row r="985">
          <cell r="A985">
            <v>31012</v>
          </cell>
          <cell r="J985">
            <v>15.77</v>
          </cell>
          <cell r="K985">
            <v>17.5395</v>
          </cell>
        </row>
        <row r="986">
          <cell r="A986">
            <v>31013</v>
          </cell>
          <cell r="J986">
            <v>17.21</v>
          </cell>
          <cell r="K986">
            <v>18.014399999999998</v>
          </cell>
        </row>
        <row r="987">
          <cell r="A987">
            <v>31014</v>
          </cell>
          <cell r="J987">
            <v>16.510000000000002</v>
          </cell>
          <cell r="K987">
            <v>17.200900000000001</v>
          </cell>
        </row>
        <row r="988">
          <cell r="A988">
            <v>31015</v>
          </cell>
          <cell r="J988">
            <v>16.39</v>
          </cell>
          <cell r="K988">
            <v>16.890699999999999</v>
          </cell>
        </row>
        <row r="989">
          <cell r="A989">
            <v>31016</v>
          </cell>
          <cell r="J989">
            <v>16.149999999999999</v>
          </cell>
          <cell r="K989">
            <v>16.952400000000001</v>
          </cell>
        </row>
        <row r="990">
          <cell r="A990">
            <v>31019</v>
          </cell>
          <cell r="J990">
            <v>16.059999999999999</v>
          </cell>
          <cell r="K990">
            <v>16.668399999999998</v>
          </cell>
        </row>
        <row r="991">
          <cell r="A991">
            <v>31020</v>
          </cell>
          <cell r="J991">
            <v>16.350000000000001</v>
          </cell>
          <cell r="K991">
            <v>16.470500000000001</v>
          </cell>
        </row>
        <row r="992">
          <cell r="A992">
            <v>31021</v>
          </cell>
          <cell r="J992">
            <v>16.77</v>
          </cell>
          <cell r="K992">
            <v>16.228300000000001</v>
          </cell>
        </row>
        <row r="993">
          <cell r="A993">
            <v>31022</v>
          </cell>
          <cell r="J993">
            <v>16.39</v>
          </cell>
          <cell r="K993">
            <v>15.9482</v>
          </cell>
        </row>
        <row r="994">
          <cell r="A994">
            <v>31023</v>
          </cell>
          <cell r="J994">
            <v>18.27</v>
          </cell>
          <cell r="K994">
            <v>17.029299999999999</v>
          </cell>
        </row>
        <row r="995">
          <cell r="A995">
            <v>31026</v>
          </cell>
          <cell r="J995">
            <v>17.350000000000001</v>
          </cell>
          <cell r="K995">
            <v>16.546099999999999</v>
          </cell>
        </row>
        <row r="996">
          <cell r="A996">
            <v>31027</v>
          </cell>
          <cell r="J996">
            <v>17.170000000000002</v>
          </cell>
          <cell r="K996">
            <v>16.095400000000001</v>
          </cell>
        </row>
        <row r="997">
          <cell r="A997">
            <v>31028</v>
          </cell>
          <cell r="J997">
            <v>16.420000000000002</v>
          </cell>
          <cell r="K997">
            <v>15.452400000000001</v>
          </cell>
        </row>
        <row r="998">
          <cell r="A998">
            <v>31029</v>
          </cell>
          <cell r="J998">
            <v>16.43</v>
          </cell>
          <cell r="K998">
            <v>15.775700000000001</v>
          </cell>
        </row>
        <row r="999">
          <cell r="A999">
            <v>31030</v>
          </cell>
          <cell r="J999">
            <v>15.94</v>
          </cell>
          <cell r="K999">
            <v>16.1996</v>
          </cell>
        </row>
        <row r="1000">
          <cell r="A1000">
            <v>31033</v>
          </cell>
          <cell r="J1000">
            <v>15.58</v>
          </cell>
          <cell r="K1000">
            <v>15.704800000000001</v>
          </cell>
        </row>
        <row r="1001">
          <cell r="A1001">
            <v>31034</v>
          </cell>
          <cell r="J1001">
            <v>15.26</v>
          </cell>
          <cell r="K1001">
            <v>15.152900000000001</v>
          </cell>
        </row>
        <row r="1002">
          <cell r="A1002">
            <v>31035</v>
          </cell>
          <cell r="J1002">
            <v>15.49</v>
          </cell>
          <cell r="K1002">
            <v>16.617899999999999</v>
          </cell>
        </row>
        <row r="1003">
          <cell r="A1003">
            <v>31036</v>
          </cell>
          <cell r="J1003">
            <v>18.649999999999999</v>
          </cell>
          <cell r="K1003">
            <v>17.004300000000001</v>
          </cell>
        </row>
        <row r="1004">
          <cell r="A1004">
            <v>31037</v>
          </cell>
          <cell r="J1004">
            <v>19.75</v>
          </cell>
          <cell r="K1004">
            <v>18.531099999999999</v>
          </cell>
        </row>
        <row r="1005">
          <cell r="A1005">
            <v>31040</v>
          </cell>
          <cell r="J1005">
            <v>19.649999999999999</v>
          </cell>
          <cell r="K1005">
            <v>18.3704</v>
          </cell>
        </row>
        <row r="1006">
          <cell r="A1006">
            <v>31041</v>
          </cell>
          <cell r="J1006">
            <v>18.55</v>
          </cell>
          <cell r="K1006">
            <v>17.349799999999998</v>
          </cell>
        </row>
        <row r="1007">
          <cell r="A1007">
            <v>31042</v>
          </cell>
          <cell r="J1007">
            <v>17.63</v>
          </cell>
          <cell r="K1007">
            <v>16.644100000000002</v>
          </cell>
        </row>
        <row r="1008">
          <cell r="A1008">
            <v>31043</v>
          </cell>
          <cell r="J1008">
            <v>16.8</v>
          </cell>
          <cell r="K1008">
            <v>16.054300000000001</v>
          </cell>
        </row>
        <row r="1009">
          <cell r="A1009">
            <v>31044</v>
          </cell>
          <cell r="J1009">
            <v>16.399999999999999</v>
          </cell>
          <cell r="K1009">
            <v>15.892300000000001</v>
          </cell>
        </row>
        <row r="1010">
          <cell r="A1010">
            <v>31047</v>
          </cell>
          <cell r="J1010">
            <v>15.79</v>
          </cell>
          <cell r="K1010">
            <v>15.5726</v>
          </cell>
        </row>
        <row r="1011">
          <cell r="A1011">
            <v>31048</v>
          </cell>
          <cell r="J1011">
            <v>15.43</v>
          </cell>
          <cell r="K1011">
            <v>15.154400000000001</v>
          </cell>
        </row>
        <row r="1012">
          <cell r="A1012">
            <v>31049</v>
          </cell>
          <cell r="J1012">
            <v>15.03</v>
          </cell>
          <cell r="K1012">
            <v>14.796099999999999</v>
          </cell>
        </row>
        <row r="1013">
          <cell r="A1013">
            <v>31050</v>
          </cell>
          <cell r="J1013">
            <v>16.18</v>
          </cell>
          <cell r="K1013">
            <v>16.251899999999999</v>
          </cell>
        </row>
        <row r="1014">
          <cell r="A1014">
            <v>31051</v>
          </cell>
          <cell r="J1014">
            <v>16.48</v>
          </cell>
          <cell r="K1014">
            <v>16.609100000000002</v>
          </cell>
        </row>
        <row r="1015">
          <cell r="A1015">
            <v>31054</v>
          </cell>
          <cell r="J1015">
            <v>16.07</v>
          </cell>
          <cell r="K1015">
            <v>16.0258</v>
          </cell>
        </row>
        <row r="1016">
          <cell r="A1016">
            <v>31055</v>
          </cell>
          <cell r="J1016">
            <v>15.5</v>
          </cell>
          <cell r="K1016">
            <v>15.3545</v>
          </cell>
        </row>
        <row r="1017">
          <cell r="A1017">
            <v>31056</v>
          </cell>
          <cell r="J1017">
            <v>18.57</v>
          </cell>
          <cell r="K1017">
            <v>16.126100000000001</v>
          </cell>
        </row>
        <row r="1018">
          <cell r="A1018">
            <v>31057</v>
          </cell>
          <cell r="J1018">
            <v>17.66</v>
          </cell>
          <cell r="K1018">
            <v>15.4635</v>
          </cell>
        </row>
        <row r="1019">
          <cell r="A1019">
            <v>31058</v>
          </cell>
          <cell r="J1019">
            <v>17.89</v>
          </cell>
          <cell r="K1019">
            <v>15.4175</v>
          </cell>
        </row>
        <row r="1020">
          <cell r="A1020">
            <v>31061</v>
          </cell>
          <cell r="J1020">
            <v>17.079999999999998</v>
          </cell>
          <cell r="K1020">
            <v>15.3621</v>
          </cell>
        </row>
        <row r="1021">
          <cell r="A1021">
            <v>31062</v>
          </cell>
          <cell r="J1021">
            <v>18.09</v>
          </cell>
          <cell r="K1021">
            <v>17.3414</v>
          </cell>
        </row>
        <row r="1022">
          <cell r="A1022">
            <v>31063</v>
          </cell>
          <cell r="J1022">
            <v>17.72</v>
          </cell>
          <cell r="K1022">
            <v>16.813600000000001</v>
          </cell>
        </row>
        <row r="1023">
          <cell r="A1023">
            <v>31064</v>
          </cell>
          <cell r="J1023">
            <v>17.2</v>
          </cell>
          <cell r="K1023">
            <v>16.518999999999998</v>
          </cell>
        </row>
        <row r="1024">
          <cell r="A1024">
            <v>31065</v>
          </cell>
          <cell r="J1024">
            <v>16.420000000000002</v>
          </cell>
          <cell r="K1024">
            <v>15.9114</v>
          </cell>
        </row>
        <row r="1025">
          <cell r="A1025">
            <v>31068</v>
          </cell>
          <cell r="J1025">
            <v>15.99</v>
          </cell>
          <cell r="K1025">
            <v>15.6714</v>
          </cell>
        </row>
        <row r="1026">
          <cell r="A1026">
            <v>31069</v>
          </cell>
          <cell r="J1026">
            <v>16.16</v>
          </cell>
          <cell r="K1026">
            <v>15.6248</v>
          </cell>
        </row>
        <row r="1027">
          <cell r="A1027">
            <v>31070</v>
          </cell>
          <cell r="J1027">
            <v>16.010000000000002</v>
          </cell>
          <cell r="K1027">
            <v>16.559100000000001</v>
          </cell>
        </row>
        <row r="1028">
          <cell r="A1028">
            <v>31071</v>
          </cell>
          <cell r="J1028">
            <v>15.44</v>
          </cell>
          <cell r="K1028">
            <v>17.848099999999999</v>
          </cell>
        </row>
        <row r="1029">
          <cell r="A1029">
            <v>31072</v>
          </cell>
          <cell r="J1029">
            <v>16.14</v>
          </cell>
          <cell r="K1029">
            <v>17.489999999999998</v>
          </cell>
        </row>
        <row r="1030">
          <cell r="A1030">
            <v>31075</v>
          </cell>
          <cell r="J1030">
            <v>15.53</v>
          </cell>
          <cell r="K1030">
            <v>16.954799999999999</v>
          </cell>
        </row>
        <row r="1031">
          <cell r="A1031">
            <v>31076</v>
          </cell>
          <cell r="J1031">
            <v>15.04</v>
          </cell>
          <cell r="K1031">
            <v>17.7912</v>
          </cell>
        </row>
        <row r="1032">
          <cell r="A1032">
            <v>31077</v>
          </cell>
          <cell r="J1032">
            <v>15.05</v>
          </cell>
          <cell r="K1032">
            <v>17.738700000000001</v>
          </cell>
        </row>
        <row r="1033">
          <cell r="A1033">
            <v>31078</v>
          </cell>
          <cell r="J1033">
            <v>14.62</v>
          </cell>
          <cell r="K1033">
            <v>18.506499999999999</v>
          </cell>
        </row>
        <row r="1034">
          <cell r="A1034">
            <v>31079</v>
          </cell>
          <cell r="J1034">
            <v>14.51</v>
          </cell>
          <cell r="K1034">
            <v>17.860800000000001</v>
          </cell>
        </row>
        <row r="1035">
          <cell r="A1035">
            <v>31082</v>
          </cell>
          <cell r="J1035">
            <v>14.8</v>
          </cell>
          <cell r="K1035">
            <v>17.828499999999998</v>
          </cell>
        </row>
        <row r="1036">
          <cell r="A1036">
            <v>31083</v>
          </cell>
          <cell r="J1036">
            <v>17.07</v>
          </cell>
          <cell r="K1036">
            <v>19.473700000000001</v>
          </cell>
        </row>
        <row r="1037">
          <cell r="A1037">
            <v>31084</v>
          </cell>
          <cell r="J1037">
            <v>16.32</v>
          </cell>
          <cell r="K1037">
            <v>18.815200000000001</v>
          </cell>
        </row>
        <row r="1038">
          <cell r="A1038">
            <v>31085</v>
          </cell>
          <cell r="J1038">
            <v>15.83</v>
          </cell>
          <cell r="K1038">
            <v>17.864799999999999</v>
          </cell>
        </row>
        <row r="1039">
          <cell r="A1039">
            <v>31086</v>
          </cell>
          <cell r="J1039">
            <v>15.43</v>
          </cell>
          <cell r="K1039">
            <v>17.2653</v>
          </cell>
        </row>
        <row r="1040">
          <cell r="A1040">
            <v>31089</v>
          </cell>
          <cell r="J1040">
            <v>14.96</v>
          </cell>
          <cell r="K1040">
            <v>16.680499999999999</v>
          </cell>
        </row>
        <row r="1041">
          <cell r="A1041">
            <v>31090</v>
          </cell>
          <cell r="J1041">
            <v>15.94</v>
          </cell>
          <cell r="K1041">
            <v>17.661999999999999</v>
          </cell>
        </row>
        <row r="1042">
          <cell r="A1042">
            <v>31091</v>
          </cell>
          <cell r="J1042">
            <v>17.579999999999998</v>
          </cell>
          <cell r="K1042">
            <v>20.442499999999999</v>
          </cell>
        </row>
        <row r="1043">
          <cell r="A1043">
            <v>31092</v>
          </cell>
          <cell r="J1043">
            <v>16.850000000000001</v>
          </cell>
          <cell r="K1043">
            <v>19.251300000000001</v>
          </cell>
        </row>
        <row r="1044">
          <cell r="A1044">
            <v>31093</v>
          </cell>
          <cell r="J1044">
            <v>16.37</v>
          </cell>
          <cell r="K1044">
            <v>18.503699999999998</v>
          </cell>
        </row>
        <row r="1045">
          <cell r="A1045">
            <v>31096</v>
          </cell>
          <cell r="J1045">
            <v>16.059999999999999</v>
          </cell>
          <cell r="K1045">
            <v>17.5336</v>
          </cell>
        </row>
        <row r="1046">
          <cell r="A1046">
            <v>31097</v>
          </cell>
          <cell r="J1046">
            <v>16.73</v>
          </cell>
          <cell r="K1046">
            <v>18.466699999999999</v>
          </cell>
        </row>
        <row r="1047">
          <cell r="A1047">
            <v>31098</v>
          </cell>
          <cell r="J1047">
            <v>16.63</v>
          </cell>
          <cell r="K1047">
            <v>17.715699999999998</v>
          </cell>
        </row>
        <row r="1048">
          <cell r="A1048">
            <v>31099</v>
          </cell>
          <cell r="J1048">
            <v>16.100000000000001</v>
          </cell>
          <cell r="K1048">
            <v>17.003699999999998</v>
          </cell>
        </row>
        <row r="1049">
          <cell r="A1049">
            <v>31100</v>
          </cell>
          <cell r="J1049">
            <v>16.57</v>
          </cell>
          <cell r="K1049">
            <v>17.974699999999999</v>
          </cell>
        </row>
        <row r="1050">
          <cell r="A1050">
            <v>31103</v>
          </cell>
          <cell r="J1050">
            <v>20.64</v>
          </cell>
          <cell r="K1050">
            <v>21.480899999999998</v>
          </cell>
        </row>
        <row r="1051">
          <cell r="A1051">
            <v>31104</v>
          </cell>
          <cell r="J1051">
            <v>22.97</v>
          </cell>
          <cell r="K1051">
            <v>23.758800000000001</v>
          </cell>
        </row>
        <row r="1052">
          <cell r="A1052">
            <v>31105</v>
          </cell>
          <cell r="J1052">
            <v>21.37</v>
          </cell>
          <cell r="K1052">
            <v>23.4636</v>
          </cell>
        </row>
        <row r="1053">
          <cell r="A1053">
            <v>31106</v>
          </cell>
          <cell r="J1053">
            <v>21.6</v>
          </cell>
          <cell r="K1053">
            <v>29.502800000000001</v>
          </cell>
        </row>
        <row r="1054">
          <cell r="A1054">
            <v>31107</v>
          </cell>
          <cell r="J1054">
            <v>20.73</v>
          </cell>
          <cell r="K1054">
            <v>27.5533</v>
          </cell>
        </row>
        <row r="1055">
          <cell r="A1055">
            <v>31110</v>
          </cell>
          <cell r="J1055">
            <v>19.64</v>
          </cell>
          <cell r="K1055">
            <v>26.533300000000001</v>
          </cell>
        </row>
        <row r="1056">
          <cell r="A1056">
            <v>31111</v>
          </cell>
          <cell r="J1056">
            <v>18.600000000000001</v>
          </cell>
          <cell r="K1056">
            <v>24.822500000000002</v>
          </cell>
        </row>
        <row r="1057">
          <cell r="A1057">
            <v>31112</v>
          </cell>
          <cell r="J1057">
            <v>19.96</v>
          </cell>
          <cell r="K1057">
            <v>24.055</v>
          </cell>
        </row>
        <row r="1058">
          <cell r="A1058">
            <v>31113</v>
          </cell>
          <cell r="J1058">
            <v>18.77</v>
          </cell>
          <cell r="K1058">
            <v>22.492100000000001</v>
          </cell>
        </row>
        <row r="1059">
          <cell r="A1059">
            <v>31114</v>
          </cell>
          <cell r="J1059">
            <v>17.829999999999998</v>
          </cell>
          <cell r="K1059">
            <v>21.170999999999999</v>
          </cell>
        </row>
        <row r="1060">
          <cell r="A1060">
            <v>31117</v>
          </cell>
          <cell r="J1060">
            <v>17.079999999999998</v>
          </cell>
          <cell r="K1060">
            <v>19.899899999999999</v>
          </cell>
        </row>
        <row r="1061">
          <cell r="A1061">
            <v>31118</v>
          </cell>
          <cell r="J1061">
            <v>17.84</v>
          </cell>
          <cell r="K1061">
            <v>19.323499999999999</v>
          </cell>
        </row>
        <row r="1062">
          <cell r="A1062">
            <v>31119</v>
          </cell>
          <cell r="J1062">
            <v>17</v>
          </cell>
          <cell r="K1062">
            <v>18.809000000000001</v>
          </cell>
        </row>
        <row r="1063">
          <cell r="A1063">
            <v>31120</v>
          </cell>
          <cell r="J1063">
            <v>16.260000000000002</v>
          </cell>
          <cell r="K1063">
            <v>18.4117</v>
          </cell>
        </row>
        <row r="1064">
          <cell r="A1064">
            <v>31121</v>
          </cell>
          <cell r="J1064">
            <v>17.579999999999998</v>
          </cell>
          <cell r="K1064">
            <v>19.4726</v>
          </cell>
        </row>
        <row r="1065">
          <cell r="A1065">
            <v>31124</v>
          </cell>
          <cell r="J1065">
            <v>17.22</v>
          </cell>
          <cell r="K1065">
            <v>18.628699999999998</v>
          </cell>
        </row>
        <row r="1066">
          <cell r="A1066">
            <v>31125</v>
          </cell>
          <cell r="J1066">
            <v>16.53</v>
          </cell>
          <cell r="K1066">
            <v>17.860099999999999</v>
          </cell>
        </row>
        <row r="1067">
          <cell r="A1067">
            <v>31126</v>
          </cell>
          <cell r="J1067">
            <v>17.16</v>
          </cell>
          <cell r="K1067">
            <v>19.3962</v>
          </cell>
        </row>
        <row r="1068">
          <cell r="A1068">
            <v>31127</v>
          </cell>
          <cell r="J1068">
            <v>16.57</v>
          </cell>
          <cell r="K1068">
            <v>18.520600000000002</v>
          </cell>
        </row>
        <row r="1069">
          <cell r="A1069">
            <v>31128</v>
          </cell>
          <cell r="J1069">
            <v>17.850000000000001</v>
          </cell>
          <cell r="K1069">
            <v>19.000800000000002</v>
          </cell>
        </row>
        <row r="1070">
          <cell r="A1070">
            <v>31131</v>
          </cell>
          <cell r="J1070">
            <v>17.02</v>
          </cell>
          <cell r="K1070">
            <v>18.854900000000001</v>
          </cell>
        </row>
        <row r="1071">
          <cell r="A1071">
            <v>31132</v>
          </cell>
          <cell r="J1071">
            <v>16.309999999999999</v>
          </cell>
          <cell r="K1071">
            <v>20.1708</v>
          </cell>
        </row>
        <row r="1072">
          <cell r="A1072">
            <v>31133</v>
          </cell>
          <cell r="J1072">
            <v>15.67</v>
          </cell>
          <cell r="K1072">
            <v>19.087</v>
          </cell>
        </row>
        <row r="1073">
          <cell r="A1073">
            <v>31134</v>
          </cell>
          <cell r="J1073">
            <v>20.32</v>
          </cell>
          <cell r="K1073">
            <v>21.1938</v>
          </cell>
        </row>
        <row r="1074">
          <cell r="A1074">
            <v>31135</v>
          </cell>
          <cell r="J1074">
            <v>19.309999999999999</v>
          </cell>
          <cell r="K1074">
            <v>19.9236</v>
          </cell>
        </row>
        <row r="1075">
          <cell r="A1075">
            <v>31138</v>
          </cell>
          <cell r="J1075">
            <v>18.920000000000002</v>
          </cell>
          <cell r="K1075">
            <v>19.017700000000001</v>
          </cell>
        </row>
        <row r="1076">
          <cell r="A1076">
            <v>31139</v>
          </cell>
          <cell r="J1076">
            <v>18.32</v>
          </cell>
          <cell r="K1076">
            <v>18.387799999999999</v>
          </cell>
        </row>
        <row r="1077">
          <cell r="A1077">
            <v>31140</v>
          </cell>
          <cell r="J1077">
            <v>17.64</v>
          </cell>
          <cell r="K1077">
            <v>18.045999999999999</v>
          </cell>
        </row>
        <row r="1078">
          <cell r="A1078">
            <v>31141</v>
          </cell>
          <cell r="J1078">
            <v>20.329999999999998</v>
          </cell>
          <cell r="K1078">
            <v>17.918299999999999</v>
          </cell>
        </row>
        <row r="1079">
          <cell r="A1079">
            <v>31142</v>
          </cell>
          <cell r="J1079">
            <v>21.38</v>
          </cell>
          <cell r="K1079">
            <v>18.846900000000002</v>
          </cell>
        </row>
        <row r="1080">
          <cell r="A1080">
            <v>31145</v>
          </cell>
          <cell r="J1080">
            <v>20.059999999999999</v>
          </cell>
          <cell r="K1080">
            <v>17.9422</v>
          </cell>
        </row>
        <row r="1081">
          <cell r="A1081">
            <v>31146</v>
          </cell>
          <cell r="J1081">
            <v>18.88</v>
          </cell>
          <cell r="K1081">
            <v>17.196100000000001</v>
          </cell>
        </row>
        <row r="1082">
          <cell r="A1082">
            <v>31147</v>
          </cell>
          <cell r="J1082">
            <v>17.86</v>
          </cell>
          <cell r="K1082">
            <v>16.607299999999999</v>
          </cell>
        </row>
        <row r="1083">
          <cell r="A1083">
            <v>31148</v>
          </cell>
          <cell r="J1083">
            <v>17.39</v>
          </cell>
          <cell r="K1083">
            <v>16.2653</v>
          </cell>
        </row>
        <row r="1084">
          <cell r="A1084">
            <v>31149</v>
          </cell>
          <cell r="J1084">
            <v>20.72</v>
          </cell>
          <cell r="K1084">
            <v>17.7136</v>
          </cell>
        </row>
        <row r="1085">
          <cell r="A1085">
            <v>31152</v>
          </cell>
          <cell r="J1085">
            <v>20.04</v>
          </cell>
          <cell r="K1085">
            <v>17.1677</v>
          </cell>
        </row>
        <row r="1086">
          <cell r="A1086">
            <v>31153</v>
          </cell>
          <cell r="J1086">
            <v>19.14</v>
          </cell>
          <cell r="K1086">
            <v>17.943300000000001</v>
          </cell>
        </row>
        <row r="1087">
          <cell r="A1087">
            <v>31154</v>
          </cell>
          <cell r="J1087">
            <v>20.95</v>
          </cell>
          <cell r="K1087">
            <v>18.183499999999999</v>
          </cell>
        </row>
        <row r="1088">
          <cell r="A1088">
            <v>31155</v>
          </cell>
          <cell r="J1088">
            <v>19.78</v>
          </cell>
          <cell r="K1088">
            <v>17.258700000000001</v>
          </cell>
        </row>
        <row r="1089">
          <cell r="A1089">
            <v>31156</v>
          </cell>
          <cell r="J1089">
            <v>21.9</v>
          </cell>
          <cell r="K1089">
            <v>17.6599</v>
          </cell>
        </row>
        <row r="1090">
          <cell r="A1090">
            <v>31159</v>
          </cell>
          <cell r="J1090">
            <v>21.52</v>
          </cell>
          <cell r="K1090">
            <v>17.711300000000001</v>
          </cell>
        </row>
        <row r="1091">
          <cell r="A1091">
            <v>31160</v>
          </cell>
          <cell r="J1091">
            <v>21.31</v>
          </cell>
          <cell r="K1091">
            <v>17.856000000000002</v>
          </cell>
        </row>
        <row r="1092">
          <cell r="A1092">
            <v>31161</v>
          </cell>
          <cell r="J1092">
            <v>23.41</v>
          </cell>
          <cell r="K1092">
            <v>21.916599999999999</v>
          </cell>
        </row>
        <row r="1093">
          <cell r="A1093">
            <v>31162</v>
          </cell>
          <cell r="J1093">
            <v>24.16</v>
          </cell>
          <cell r="K1093">
            <v>24.3064</v>
          </cell>
        </row>
        <row r="1094">
          <cell r="A1094">
            <v>31163</v>
          </cell>
          <cell r="J1094">
            <v>22.43</v>
          </cell>
          <cell r="K1094">
            <v>22.793500000000002</v>
          </cell>
        </row>
        <row r="1095">
          <cell r="A1095">
            <v>31166</v>
          </cell>
          <cell r="J1095">
            <v>21.42</v>
          </cell>
          <cell r="K1095">
            <v>21.603300000000001</v>
          </cell>
        </row>
        <row r="1096">
          <cell r="A1096">
            <v>31167</v>
          </cell>
          <cell r="J1096">
            <v>20.37</v>
          </cell>
          <cell r="K1096">
            <v>20.675899999999999</v>
          </cell>
        </row>
        <row r="1097">
          <cell r="A1097">
            <v>31168</v>
          </cell>
          <cell r="J1097">
            <v>19.25</v>
          </cell>
          <cell r="K1097">
            <v>19.456900000000001</v>
          </cell>
        </row>
        <row r="1098">
          <cell r="A1098">
            <v>31169</v>
          </cell>
          <cell r="J1098">
            <v>20.47</v>
          </cell>
          <cell r="K1098">
            <v>21.139299999999999</v>
          </cell>
        </row>
        <row r="1099">
          <cell r="A1099">
            <v>31170</v>
          </cell>
          <cell r="J1099">
            <v>19.93</v>
          </cell>
          <cell r="K1099">
            <v>20.520099999999999</v>
          </cell>
        </row>
        <row r="1100">
          <cell r="A1100">
            <v>31173</v>
          </cell>
          <cell r="J1100">
            <v>19.45</v>
          </cell>
          <cell r="K1100">
            <v>19.600300000000001</v>
          </cell>
        </row>
        <row r="1101">
          <cell r="A1101">
            <v>31174</v>
          </cell>
          <cell r="J1101">
            <v>19.22</v>
          </cell>
          <cell r="K1101">
            <v>20.5596</v>
          </cell>
        </row>
        <row r="1102">
          <cell r="A1102">
            <v>31175</v>
          </cell>
          <cell r="J1102">
            <v>20.72</v>
          </cell>
          <cell r="K1102">
            <v>20.439399999999999</v>
          </cell>
        </row>
        <row r="1103">
          <cell r="A1103">
            <v>31176</v>
          </cell>
          <cell r="J1103">
            <v>19.97</v>
          </cell>
          <cell r="K1103">
            <v>19.594100000000001</v>
          </cell>
        </row>
        <row r="1104">
          <cell r="A1104">
            <v>31177</v>
          </cell>
          <cell r="J1104">
            <v>21.91</v>
          </cell>
          <cell r="K1104">
            <v>19.668700000000001</v>
          </cell>
        </row>
        <row r="1105">
          <cell r="A1105">
            <v>31180</v>
          </cell>
          <cell r="J1105">
            <v>20.45</v>
          </cell>
          <cell r="K1105">
            <v>18.53</v>
          </cell>
        </row>
        <row r="1106">
          <cell r="A1106">
            <v>31181</v>
          </cell>
          <cell r="J1106">
            <v>22.31</v>
          </cell>
          <cell r="K1106">
            <v>19.6432</v>
          </cell>
        </row>
        <row r="1107">
          <cell r="A1107">
            <v>31182</v>
          </cell>
          <cell r="J1107">
            <v>21.07</v>
          </cell>
          <cell r="K1107">
            <v>18.604299999999999</v>
          </cell>
        </row>
        <row r="1108">
          <cell r="A1108">
            <v>31183</v>
          </cell>
          <cell r="J1108">
            <v>19.86</v>
          </cell>
          <cell r="K1108">
            <v>17.668700000000001</v>
          </cell>
        </row>
        <row r="1109">
          <cell r="A1109">
            <v>31184</v>
          </cell>
          <cell r="J1109">
            <v>19.55</v>
          </cell>
          <cell r="K1109">
            <v>18.077100000000002</v>
          </cell>
        </row>
        <row r="1110">
          <cell r="A1110">
            <v>31187</v>
          </cell>
          <cell r="J1110">
            <v>18.55</v>
          </cell>
          <cell r="K1110">
            <v>17.158799999999999</v>
          </cell>
        </row>
        <row r="1111">
          <cell r="A1111">
            <v>31188</v>
          </cell>
          <cell r="J1111">
            <v>18.989999999999998</v>
          </cell>
          <cell r="K1111">
            <v>18.828099999999999</v>
          </cell>
        </row>
        <row r="1112">
          <cell r="A1112">
            <v>31189</v>
          </cell>
          <cell r="J1112">
            <v>20.350000000000001</v>
          </cell>
          <cell r="K1112">
            <v>20.328399999999998</v>
          </cell>
        </row>
        <row r="1113">
          <cell r="A1113">
            <v>31190</v>
          </cell>
          <cell r="J1113">
            <v>19.149999999999999</v>
          </cell>
          <cell r="K1113">
            <v>19.076699999999999</v>
          </cell>
        </row>
        <row r="1114">
          <cell r="A1114">
            <v>31191</v>
          </cell>
          <cell r="J1114">
            <v>18.3</v>
          </cell>
          <cell r="K1114">
            <v>19.975899999999999</v>
          </cell>
        </row>
        <row r="1115">
          <cell r="A1115">
            <v>31194</v>
          </cell>
          <cell r="J1115">
            <v>17.38</v>
          </cell>
          <cell r="K1115">
            <v>19.108799999999999</v>
          </cell>
        </row>
        <row r="1116">
          <cell r="A1116">
            <v>31195</v>
          </cell>
          <cell r="J1116">
            <v>16.649999999999999</v>
          </cell>
          <cell r="K1116">
            <v>18.1371</v>
          </cell>
        </row>
        <row r="1117">
          <cell r="A1117">
            <v>31196</v>
          </cell>
          <cell r="J1117">
            <v>16.18</v>
          </cell>
          <cell r="K1117">
            <v>17.594000000000001</v>
          </cell>
        </row>
        <row r="1118">
          <cell r="A1118">
            <v>31197</v>
          </cell>
          <cell r="J1118">
            <v>16.45</v>
          </cell>
          <cell r="K1118">
            <v>16.8855</v>
          </cell>
        </row>
        <row r="1119">
          <cell r="A1119">
            <v>31198</v>
          </cell>
          <cell r="J1119">
            <v>17.59</v>
          </cell>
          <cell r="K1119">
            <v>16.800799999999999</v>
          </cell>
        </row>
        <row r="1120">
          <cell r="A1120">
            <v>31201</v>
          </cell>
          <cell r="J1120">
            <v>17.13</v>
          </cell>
          <cell r="K1120">
            <v>17.110900000000001</v>
          </cell>
        </row>
        <row r="1121">
          <cell r="A1121">
            <v>31202</v>
          </cell>
          <cell r="J1121">
            <v>16.91</v>
          </cell>
          <cell r="K1121">
            <v>18.529399999999999</v>
          </cell>
        </row>
        <row r="1122">
          <cell r="A1122">
            <v>31203</v>
          </cell>
          <cell r="J1122">
            <v>16.649999999999999</v>
          </cell>
          <cell r="K1122">
            <v>18.2455</v>
          </cell>
        </row>
        <row r="1123">
          <cell r="A1123">
            <v>31204</v>
          </cell>
          <cell r="J1123">
            <v>17.12</v>
          </cell>
          <cell r="K1123">
            <v>18.258900000000001</v>
          </cell>
        </row>
        <row r="1124">
          <cell r="A1124">
            <v>31205</v>
          </cell>
          <cell r="J1124">
            <v>16.36</v>
          </cell>
          <cell r="K1124">
            <v>17.591799999999999</v>
          </cell>
        </row>
        <row r="1125">
          <cell r="A1125">
            <v>31208</v>
          </cell>
          <cell r="J1125">
            <v>16.97</v>
          </cell>
          <cell r="K1125">
            <v>18.072600000000001</v>
          </cell>
        </row>
        <row r="1126">
          <cell r="A1126">
            <v>31209</v>
          </cell>
          <cell r="J1126">
            <v>17.559999999999999</v>
          </cell>
          <cell r="K1126">
            <v>19.500800000000002</v>
          </cell>
        </row>
        <row r="1127">
          <cell r="A1127">
            <v>31210</v>
          </cell>
          <cell r="J1127">
            <v>16.78</v>
          </cell>
          <cell r="K1127">
            <v>18.618600000000001</v>
          </cell>
        </row>
        <row r="1128">
          <cell r="A1128">
            <v>31211</v>
          </cell>
          <cell r="J1128">
            <v>16.36</v>
          </cell>
          <cell r="K1128">
            <v>18.722799999999999</v>
          </cell>
        </row>
        <row r="1129">
          <cell r="A1129">
            <v>31212</v>
          </cell>
          <cell r="J1129">
            <v>18.34</v>
          </cell>
          <cell r="K1129">
            <v>20.813700000000001</v>
          </cell>
        </row>
        <row r="1130">
          <cell r="A1130">
            <v>31215</v>
          </cell>
          <cell r="J1130">
            <v>17.73</v>
          </cell>
          <cell r="K1130">
            <v>20.186699999999998</v>
          </cell>
        </row>
        <row r="1131">
          <cell r="A1131">
            <v>31216</v>
          </cell>
          <cell r="J1131">
            <v>16.899999999999999</v>
          </cell>
          <cell r="K1131">
            <v>19.036799999999999</v>
          </cell>
        </row>
        <row r="1132">
          <cell r="A1132">
            <v>31217</v>
          </cell>
          <cell r="J1132">
            <v>16.309999999999999</v>
          </cell>
          <cell r="K1132">
            <v>19.997299999999999</v>
          </cell>
        </row>
        <row r="1133">
          <cell r="A1133">
            <v>31218</v>
          </cell>
          <cell r="J1133">
            <v>16.21</v>
          </cell>
          <cell r="K1133">
            <v>19.1281</v>
          </cell>
        </row>
        <row r="1134">
          <cell r="A1134">
            <v>31219</v>
          </cell>
          <cell r="J1134">
            <v>19.03</v>
          </cell>
          <cell r="K1134">
            <v>21.093699999999998</v>
          </cell>
        </row>
        <row r="1135">
          <cell r="A1135">
            <v>31222</v>
          </cell>
          <cell r="J1135">
            <v>18.07</v>
          </cell>
          <cell r="K1135">
            <v>20.264299999999999</v>
          </cell>
        </row>
        <row r="1136">
          <cell r="A1136">
            <v>31223</v>
          </cell>
          <cell r="J1136">
            <v>18.09</v>
          </cell>
          <cell r="K1136">
            <v>19.295400000000001</v>
          </cell>
        </row>
        <row r="1137">
          <cell r="A1137">
            <v>31224</v>
          </cell>
          <cell r="J1137">
            <v>17.22</v>
          </cell>
          <cell r="K1137">
            <v>18.5472</v>
          </cell>
        </row>
        <row r="1138">
          <cell r="A1138">
            <v>31225</v>
          </cell>
          <cell r="J1138">
            <v>16.54</v>
          </cell>
          <cell r="K1138">
            <v>18.166</v>
          </cell>
        </row>
        <row r="1139">
          <cell r="A1139">
            <v>31226</v>
          </cell>
          <cell r="J1139">
            <v>17.96</v>
          </cell>
          <cell r="K1139">
            <v>18.5566</v>
          </cell>
        </row>
        <row r="1140">
          <cell r="A1140">
            <v>31229</v>
          </cell>
          <cell r="J1140">
            <v>17.23</v>
          </cell>
          <cell r="K1140">
            <v>18.9114</v>
          </cell>
        </row>
        <row r="1141">
          <cell r="A1141">
            <v>31230</v>
          </cell>
          <cell r="J1141">
            <v>16.559999999999999</v>
          </cell>
          <cell r="K1141">
            <v>18.170000000000002</v>
          </cell>
        </row>
        <row r="1142">
          <cell r="A1142">
            <v>31231</v>
          </cell>
          <cell r="J1142">
            <v>16.440000000000001</v>
          </cell>
          <cell r="K1142">
            <v>17.594899999999999</v>
          </cell>
        </row>
        <row r="1143">
          <cell r="A1143">
            <v>31232</v>
          </cell>
          <cell r="J1143">
            <v>15.87</v>
          </cell>
          <cell r="K1143">
            <v>18.495000000000001</v>
          </cell>
        </row>
        <row r="1144">
          <cell r="A1144">
            <v>31233</v>
          </cell>
          <cell r="J1144">
            <v>18.12</v>
          </cell>
          <cell r="K1144">
            <v>18.724699999999999</v>
          </cell>
        </row>
        <row r="1145">
          <cell r="A1145">
            <v>31236</v>
          </cell>
          <cell r="J1145">
            <v>17.690000000000001</v>
          </cell>
          <cell r="K1145">
            <v>18.802399999999999</v>
          </cell>
        </row>
        <row r="1146">
          <cell r="A1146">
            <v>31237</v>
          </cell>
          <cell r="J1146">
            <v>17.149999999999999</v>
          </cell>
          <cell r="K1146">
            <v>18.229199999999999</v>
          </cell>
        </row>
        <row r="1147">
          <cell r="A1147">
            <v>31238</v>
          </cell>
          <cell r="J1147">
            <v>17.03</v>
          </cell>
          <cell r="K1147">
            <v>17.664899999999999</v>
          </cell>
        </row>
        <row r="1148">
          <cell r="A1148">
            <v>31239</v>
          </cell>
          <cell r="J1148">
            <v>16.7</v>
          </cell>
          <cell r="K1148">
            <v>20.642099999999999</v>
          </cell>
        </row>
        <row r="1149">
          <cell r="A1149">
            <v>31240</v>
          </cell>
          <cell r="J1149">
            <v>16.13</v>
          </cell>
          <cell r="K1149">
            <v>20.467300000000002</v>
          </cell>
        </row>
        <row r="1150">
          <cell r="A1150">
            <v>31243</v>
          </cell>
          <cell r="J1150">
            <v>18.8</v>
          </cell>
          <cell r="K1150">
            <v>20.5227</v>
          </cell>
        </row>
        <row r="1151">
          <cell r="A1151">
            <v>31244</v>
          </cell>
          <cell r="J1151">
            <v>17.91</v>
          </cell>
          <cell r="K1151">
            <v>19.561499999999999</v>
          </cell>
        </row>
        <row r="1152">
          <cell r="A1152">
            <v>31245</v>
          </cell>
          <cell r="J1152">
            <v>17.28</v>
          </cell>
          <cell r="K1152">
            <v>18.763100000000001</v>
          </cell>
        </row>
        <row r="1153">
          <cell r="A1153">
            <v>31246</v>
          </cell>
          <cell r="J1153">
            <v>19.14</v>
          </cell>
          <cell r="K1153">
            <v>18.975899999999999</v>
          </cell>
        </row>
        <row r="1154">
          <cell r="A1154">
            <v>31247</v>
          </cell>
          <cell r="J1154">
            <v>19.47</v>
          </cell>
          <cell r="K1154">
            <v>19.1145</v>
          </cell>
        </row>
        <row r="1155">
          <cell r="A1155">
            <v>31250</v>
          </cell>
          <cell r="J1155">
            <v>22.32</v>
          </cell>
          <cell r="K1155">
            <v>20.046800000000001</v>
          </cell>
        </row>
        <row r="1156">
          <cell r="A1156">
            <v>31251</v>
          </cell>
          <cell r="J1156">
            <v>20.84</v>
          </cell>
          <cell r="K1156">
            <v>20.2361</v>
          </cell>
        </row>
        <row r="1157">
          <cell r="A1157">
            <v>31252</v>
          </cell>
          <cell r="J1157">
            <v>20.5</v>
          </cell>
          <cell r="K1157">
            <v>19.9392</v>
          </cell>
        </row>
        <row r="1158">
          <cell r="A1158">
            <v>31253</v>
          </cell>
          <cell r="J1158">
            <v>19.899999999999999</v>
          </cell>
          <cell r="K1158">
            <v>19.680599999999998</v>
          </cell>
        </row>
        <row r="1159">
          <cell r="A1159">
            <v>31254</v>
          </cell>
          <cell r="J1159">
            <v>19.64</v>
          </cell>
          <cell r="K1159">
            <v>19.230799999999999</v>
          </cell>
        </row>
        <row r="1160">
          <cell r="A1160">
            <v>31257</v>
          </cell>
          <cell r="J1160">
            <v>18.78</v>
          </cell>
          <cell r="K1160">
            <v>18.550799999999999</v>
          </cell>
        </row>
        <row r="1161">
          <cell r="A1161">
            <v>31258</v>
          </cell>
          <cell r="J1161">
            <v>18.850000000000001</v>
          </cell>
          <cell r="K1161">
            <v>18.492899999999999</v>
          </cell>
        </row>
        <row r="1162">
          <cell r="A1162">
            <v>31259</v>
          </cell>
          <cell r="J1162">
            <v>20.260000000000002</v>
          </cell>
          <cell r="K1162">
            <v>18.9559</v>
          </cell>
        </row>
        <row r="1163">
          <cell r="A1163">
            <v>31260</v>
          </cell>
          <cell r="J1163">
            <v>19.25</v>
          </cell>
          <cell r="K1163">
            <v>18.552099999999999</v>
          </cell>
        </row>
        <row r="1164">
          <cell r="A1164">
            <v>31261</v>
          </cell>
          <cell r="J1164">
            <v>18.37</v>
          </cell>
          <cell r="K1164">
            <v>18.4008</v>
          </cell>
        </row>
        <row r="1165">
          <cell r="A1165">
            <v>31264</v>
          </cell>
          <cell r="J1165">
            <v>17.72</v>
          </cell>
          <cell r="K1165">
            <v>20.404399999999999</v>
          </cell>
        </row>
        <row r="1166">
          <cell r="A1166">
            <v>31265</v>
          </cell>
          <cell r="J1166">
            <v>16.86</v>
          </cell>
          <cell r="K1166">
            <v>19.5702</v>
          </cell>
        </row>
        <row r="1167">
          <cell r="A1167">
            <v>31266</v>
          </cell>
          <cell r="J1167">
            <v>16.53</v>
          </cell>
          <cell r="K1167">
            <v>19.367899999999999</v>
          </cell>
        </row>
        <row r="1168">
          <cell r="A1168">
            <v>31267</v>
          </cell>
          <cell r="J1168">
            <v>16.600000000000001</v>
          </cell>
          <cell r="K1168">
            <v>19.1767</v>
          </cell>
        </row>
        <row r="1169">
          <cell r="A1169">
            <v>31268</v>
          </cell>
          <cell r="J1169">
            <v>15.93</v>
          </cell>
          <cell r="K1169">
            <v>18.232700000000001</v>
          </cell>
        </row>
        <row r="1170">
          <cell r="A1170">
            <v>31271</v>
          </cell>
          <cell r="J1170">
            <v>15.53</v>
          </cell>
          <cell r="K1170">
            <v>17.823599999999999</v>
          </cell>
        </row>
        <row r="1171">
          <cell r="A1171">
            <v>31272</v>
          </cell>
          <cell r="J1171">
            <v>15.38</v>
          </cell>
          <cell r="K1171">
            <v>18.307200000000002</v>
          </cell>
        </row>
        <row r="1172">
          <cell r="A1172">
            <v>31273</v>
          </cell>
          <cell r="J1172">
            <v>14.9</v>
          </cell>
          <cell r="K1172">
            <v>17.560400000000001</v>
          </cell>
        </row>
        <row r="1173">
          <cell r="A1173">
            <v>31274</v>
          </cell>
          <cell r="J1173">
            <v>16.11</v>
          </cell>
          <cell r="K1173">
            <v>17.4557</v>
          </cell>
        </row>
        <row r="1174">
          <cell r="A1174">
            <v>31275</v>
          </cell>
          <cell r="J1174">
            <v>15.59</v>
          </cell>
          <cell r="K1174">
            <v>17.115500000000001</v>
          </cell>
        </row>
        <row r="1175">
          <cell r="A1175">
            <v>31278</v>
          </cell>
          <cell r="J1175">
            <v>16.100000000000001</v>
          </cell>
          <cell r="K1175">
            <v>16.9511</v>
          </cell>
        </row>
        <row r="1176">
          <cell r="A1176">
            <v>31279</v>
          </cell>
          <cell r="J1176">
            <v>15.66</v>
          </cell>
          <cell r="K1176">
            <v>16.9147</v>
          </cell>
        </row>
        <row r="1177">
          <cell r="A1177">
            <v>31280</v>
          </cell>
          <cell r="J1177">
            <v>15.98</v>
          </cell>
          <cell r="K1177">
            <v>16.472999999999999</v>
          </cell>
        </row>
        <row r="1178">
          <cell r="A1178">
            <v>31281</v>
          </cell>
          <cell r="J1178">
            <v>15.76</v>
          </cell>
          <cell r="K1178">
            <v>15.8893</v>
          </cell>
        </row>
        <row r="1179">
          <cell r="A1179">
            <v>31282</v>
          </cell>
          <cell r="J1179">
            <v>16.45</v>
          </cell>
          <cell r="K1179">
            <v>16.026199999999999</v>
          </cell>
        </row>
        <row r="1180">
          <cell r="A1180">
            <v>31285</v>
          </cell>
          <cell r="J1180">
            <v>16.23</v>
          </cell>
          <cell r="K1180">
            <v>16.3645</v>
          </cell>
        </row>
        <row r="1181">
          <cell r="A1181">
            <v>31286</v>
          </cell>
          <cell r="J1181">
            <v>15.63</v>
          </cell>
          <cell r="K1181">
            <v>15.879099999999999</v>
          </cell>
        </row>
        <row r="1182">
          <cell r="A1182">
            <v>31287</v>
          </cell>
          <cell r="J1182">
            <v>15.68</v>
          </cell>
          <cell r="K1182">
            <v>16.261500000000002</v>
          </cell>
        </row>
        <row r="1183">
          <cell r="A1183">
            <v>31288</v>
          </cell>
          <cell r="J1183">
            <v>15.85</v>
          </cell>
          <cell r="K1183">
            <v>15.658899999999999</v>
          </cell>
        </row>
        <row r="1184">
          <cell r="A1184">
            <v>31289</v>
          </cell>
          <cell r="J1184">
            <v>15.3</v>
          </cell>
          <cell r="K1184">
            <v>15.341699999999999</v>
          </cell>
        </row>
        <row r="1185">
          <cell r="A1185">
            <v>31292</v>
          </cell>
          <cell r="J1185">
            <v>15.38</v>
          </cell>
          <cell r="K1185">
            <v>15.12</v>
          </cell>
        </row>
        <row r="1186">
          <cell r="A1186">
            <v>31293</v>
          </cell>
          <cell r="J1186">
            <v>17.43</v>
          </cell>
          <cell r="K1186">
            <v>17.181100000000001</v>
          </cell>
        </row>
        <row r="1187">
          <cell r="A1187">
            <v>31294</v>
          </cell>
          <cell r="J1187">
            <v>17.28</v>
          </cell>
          <cell r="K1187">
            <v>17.433499999999999</v>
          </cell>
        </row>
        <row r="1188">
          <cell r="A1188">
            <v>31295</v>
          </cell>
          <cell r="J1188">
            <v>16.489999999999998</v>
          </cell>
          <cell r="K1188">
            <v>17.324200000000001</v>
          </cell>
        </row>
        <row r="1189">
          <cell r="A1189">
            <v>31296</v>
          </cell>
          <cell r="J1189">
            <v>16.510000000000002</v>
          </cell>
          <cell r="K1189">
            <v>17.166699999999999</v>
          </cell>
        </row>
        <row r="1190">
          <cell r="A1190">
            <v>31299</v>
          </cell>
          <cell r="J1190">
            <v>21.08</v>
          </cell>
          <cell r="K1190">
            <v>20.5382</v>
          </cell>
        </row>
        <row r="1191">
          <cell r="A1191">
            <v>31300</v>
          </cell>
          <cell r="J1191">
            <v>19.73</v>
          </cell>
          <cell r="K1191">
            <v>20.1845</v>
          </cell>
        </row>
        <row r="1192">
          <cell r="A1192">
            <v>31301</v>
          </cell>
          <cell r="J1192">
            <v>19.12</v>
          </cell>
          <cell r="K1192">
            <v>20.0703</v>
          </cell>
        </row>
        <row r="1193">
          <cell r="A1193">
            <v>31302</v>
          </cell>
          <cell r="J1193">
            <v>19.489999999999998</v>
          </cell>
          <cell r="K1193">
            <v>20.149999999999999</v>
          </cell>
        </row>
        <row r="1194">
          <cell r="A1194">
            <v>31303</v>
          </cell>
          <cell r="J1194">
            <v>19.03</v>
          </cell>
          <cell r="K1194">
            <v>19.328700000000001</v>
          </cell>
        </row>
        <row r="1195">
          <cell r="A1195">
            <v>31306</v>
          </cell>
          <cell r="J1195">
            <v>20.05</v>
          </cell>
          <cell r="K1195">
            <v>19.456199999999999</v>
          </cell>
        </row>
        <row r="1196">
          <cell r="A1196">
            <v>31307</v>
          </cell>
          <cell r="J1196">
            <v>20.440000000000001</v>
          </cell>
          <cell r="K1196">
            <v>20.1431</v>
          </cell>
        </row>
        <row r="1197">
          <cell r="A1197">
            <v>31308</v>
          </cell>
          <cell r="J1197">
            <v>19.18</v>
          </cell>
          <cell r="K1197">
            <v>19.698599999999999</v>
          </cell>
        </row>
        <row r="1198">
          <cell r="A1198">
            <v>31309</v>
          </cell>
          <cell r="J1198">
            <v>18.440000000000001</v>
          </cell>
          <cell r="K1198">
            <v>19.087700000000002</v>
          </cell>
        </row>
        <row r="1199">
          <cell r="A1199">
            <v>31310</v>
          </cell>
          <cell r="J1199">
            <v>17.7</v>
          </cell>
          <cell r="K1199">
            <v>18.127800000000001</v>
          </cell>
        </row>
        <row r="1200">
          <cell r="A1200">
            <v>31313</v>
          </cell>
          <cell r="J1200">
            <v>18.25</v>
          </cell>
          <cell r="K1200">
            <v>18.0246</v>
          </cell>
        </row>
        <row r="1201">
          <cell r="A1201">
            <v>31314</v>
          </cell>
          <cell r="J1201">
            <v>26.11</v>
          </cell>
          <cell r="K1201">
            <v>26.604500000000002</v>
          </cell>
        </row>
        <row r="1202">
          <cell r="A1202">
            <v>31315</v>
          </cell>
          <cell r="J1202">
            <v>24.1</v>
          </cell>
          <cell r="K1202">
            <v>25.1401</v>
          </cell>
        </row>
        <row r="1203">
          <cell r="A1203">
            <v>31316</v>
          </cell>
          <cell r="J1203">
            <v>24.64</v>
          </cell>
          <cell r="K1203">
            <v>25.638400000000001</v>
          </cell>
        </row>
        <row r="1204">
          <cell r="A1204">
            <v>31317</v>
          </cell>
          <cell r="J1204">
            <v>23.51</v>
          </cell>
          <cell r="K1204">
            <v>23.881900000000002</v>
          </cell>
        </row>
        <row r="1205">
          <cell r="A1205">
            <v>31320</v>
          </cell>
          <cell r="J1205">
            <v>22.1</v>
          </cell>
          <cell r="K1205">
            <v>22.898299999999999</v>
          </cell>
        </row>
        <row r="1206">
          <cell r="A1206">
            <v>31321</v>
          </cell>
          <cell r="J1206">
            <v>21.12</v>
          </cell>
          <cell r="K1206">
            <v>22.489599999999999</v>
          </cell>
        </row>
        <row r="1207">
          <cell r="A1207">
            <v>31322</v>
          </cell>
          <cell r="J1207">
            <v>19.78</v>
          </cell>
          <cell r="K1207">
            <v>21.537099999999999</v>
          </cell>
        </row>
        <row r="1208">
          <cell r="A1208">
            <v>31323</v>
          </cell>
          <cell r="J1208">
            <v>18.97</v>
          </cell>
          <cell r="K1208">
            <v>20.478400000000001</v>
          </cell>
        </row>
        <row r="1209">
          <cell r="A1209">
            <v>31324</v>
          </cell>
          <cell r="J1209">
            <v>18.78</v>
          </cell>
          <cell r="K1209">
            <v>19.583300000000001</v>
          </cell>
        </row>
        <row r="1210">
          <cell r="A1210">
            <v>31327</v>
          </cell>
          <cell r="J1210">
            <v>18.579999999999998</v>
          </cell>
          <cell r="K1210">
            <v>18.944700000000001</v>
          </cell>
        </row>
        <row r="1211">
          <cell r="A1211">
            <v>31328</v>
          </cell>
          <cell r="J1211">
            <v>20.67</v>
          </cell>
          <cell r="K1211">
            <v>20.1496</v>
          </cell>
        </row>
        <row r="1212">
          <cell r="A1212">
            <v>31329</v>
          </cell>
          <cell r="J1212">
            <v>19.43</v>
          </cell>
          <cell r="K1212">
            <v>19.019200000000001</v>
          </cell>
        </row>
        <row r="1213">
          <cell r="A1213">
            <v>31330</v>
          </cell>
          <cell r="J1213">
            <v>18.32</v>
          </cell>
          <cell r="K1213">
            <v>17.8809</v>
          </cell>
        </row>
        <row r="1214">
          <cell r="A1214">
            <v>31331</v>
          </cell>
          <cell r="J1214">
            <v>17.45</v>
          </cell>
          <cell r="K1214">
            <v>19.322299999999998</v>
          </cell>
        </row>
        <row r="1215">
          <cell r="A1215">
            <v>31334</v>
          </cell>
          <cell r="J1215">
            <v>16.64</v>
          </cell>
          <cell r="K1215">
            <v>18.417300000000001</v>
          </cell>
        </row>
        <row r="1216">
          <cell r="A1216">
            <v>31335</v>
          </cell>
          <cell r="J1216">
            <v>16.39</v>
          </cell>
          <cell r="K1216">
            <v>18.235199999999999</v>
          </cell>
        </row>
        <row r="1217">
          <cell r="A1217">
            <v>31336</v>
          </cell>
          <cell r="J1217">
            <v>16.29</v>
          </cell>
          <cell r="K1217">
            <v>17.305599999999998</v>
          </cell>
        </row>
        <row r="1218">
          <cell r="A1218">
            <v>31337</v>
          </cell>
          <cell r="J1218">
            <v>16.97</v>
          </cell>
          <cell r="K1218">
            <v>16.9558</v>
          </cell>
        </row>
        <row r="1219">
          <cell r="A1219">
            <v>31338</v>
          </cell>
          <cell r="J1219">
            <v>17.14</v>
          </cell>
          <cell r="K1219">
            <v>17.4133</v>
          </cell>
        </row>
        <row r="1220">
          <cell r="A1220">
            <v>31341</v>
          </cell>
          <cell r="J1220">
            <v>16.41</v>
          </cell>
          <cell r="K1220">
            <v>17.021599999999999</v>
          </cell>
        </row>
        <row r="1221">
          <cell r="A1221">
            <v>31342</v>
          </cell>
          <cell r="J1221">
            <v>15.76</v>
          </cell>
          <cell r="K1221">
            <v>16.4422</v>
          </cell>
        </row>
        <row r="1222">
          <cell r="A1222">
            <v>31343</v>
          </cell>
          <cell r="J1222">
            <v>15.48</v>
          </cell>
          <cell r="K1222">
            <v>16.091200000000001</v>
          </cell>
        </row>
        <row r="1223">
          <cell r="A1223">
            <v>31344</v>
          </cell>
          <cell r="J1223">
            <v>14.98</v>
          </cell>
          <cell r="K1223">
            <v>15.9588</v>
          </cell>
        </row>
        <row r="1224">
          <cell r="A1224">
            <v>31345</v>
          </cell>
          <cell r="J1224">
            <v>16.7</v>
          </cell>
          <cell r="K1224">
            <v>15.7196</v>
          </cell>
        </row>
        <row r="1225">
          <cell r="A1225">
            <v>31348</v>
          </cell>
          <cell r="J1225">
            <v>16.100000000000001</v>
          </cell>
          <cell r="K1225">
            <v>15.7341</v>
          </cell>
        </row>
        <row r="1226">
          <cell r="A1226">
            <v>31349</v>
          </cell>
          <cell r="J1226">
            <v>15.58</v>
          </cell>
          <cell r="K1226">
            <v>15.5557</v>
          </cell>
        </row>
        <row r="1227">
          <cell r="A1227">
            <v>31350</v>
          </cell>
          <cell r="J1227">
            <v>15.18</v>
          </cell>
          <cell r="K1227">
            <v>16.185700000000001</v>
          </cell>
        </row>
        <row r="1228">
          <cell r="A1228">
            <v>31351</v>
          </cell>
          <cell r="J1228">
            <v>15.15</v>
          </cell>
          <cell r="K1228">
            <v>16.7546</v>
          </cell>
        </row>
        <row r="1229">
          <cell r="A1229">
            <v>31352</v>
          </cell>
          <cell r="J1229">
            <v>15.55</v>
          </cell>
          <cell r="K1229">
            <v>16.141500000000001</v>
          </cell>
        </row>
        <row r="1230">
          <cell r="A1230">
            <v>31355</v>
          </cell>
          <cell r="J1230">
            <v>15.21</v>
          </cell>
          <cell r="K1230">
            <v>15.9613</v>
          </cell>
        </row>
        <row r="1231">
          <cell r="A1231">
            <v>31356</v>
          </cell>
          <cell r="J1231">
            <v>15.51</v>
          </cell>
          <cell r="K1231">
            <v>15.39</v>
          </cell>
        </row>
        <row r="1232">
          <cell r="A1232">
            <v>31357</v>
          </cell>
          <cell r="J1232">
            <v>15.01</v>
          </cell>
          <cell r="K1232">
            <v>17.651900000000001</v>
          </cell>
        </row>
        <row r="1233">
          <cell r="A1233">
            <v>31358</v>
          </cell>
          <cell r="J1233">
            <v>15.27</v>
          </cell>
          <cell r="K1233">
            <v>18.135999999999999</v>
          </cell>
        </row>
        <row r="1234">
          <cell r="A1234">
            <v>31359</v>
          </cell>
          <cell r="J1234">
            <v>16.100000000000001</v>
          </cell>
          <cell r="K1234">
            <v>18.753699999999998</v>
          </cell>
        </row>
        <row r="1235">
          <cell r="A1235">
            <v>31362</v>
          </cell>
          <cell r="J1235">
            <v>20.100000000000001</v>
          </cell>
          <cell r="K1235">
            <v>19.771999999999998</v>
          </cell>
        </row>
        <row r="1236">
          <cell r="A1236">
            <v>31363</v>
          </cell>
          <cell r="J1236">
            <v>18.88</v>
          </cell>
          <cell r="K1236">
            <v>18.685300000000002</v>
          </cell>
        </row>
        <row r="1237">
          <cell r="A1237">
            <v>31364</v>
          </cell>
          <cell r="J1237">
            <v>18.59</v>
          </cell>
          <cell r="K1237">
            <v>17.866499999999998</v>
          </cell>
        </row>
        <row r="1238">
          <cell r="A1238">
            <v>31365</v>
          </cell>
          <cell r="J1238">
            <v>18.27</v>
          </cell>
          <cell r="K1238">
            <v>18.029199999999999</v>
          </cell>
        </row>
        <row r="1239">
          <cell r="A1239">
            <v>31366</v>
          </cell>
          <cell r="J1239">
            <v>17.79</v>
          </cell>
          <cell r="K1239">
            <v>18.891200000000001</v>
          </cell>
        </row>
        <row r="1240">
          <cell r="A1240">
            <v>31369</v>
          </cell>
          <cell r="J1240">
            <v>17.309999999999999</v>
          </cell>
          <cell r="K1240">
            <v>18.1783</v>
          </cell>
        </row>
        <row r="1241">
          <cell r="A1241">
            <v>31370</v>
          </cell>
          <cell r="J1241">
            <v>16.59</v>
          </cell>
          <cell r="K1241">
            <v>17.426400000000001</v>
          </cell>
        </row>
        <row r="1242">
          <cell r="A1242">
            <v>31371</v>
          </cell>
          <cell r="J1242">
            <v>17.21</v>
          </cell>
          <cell r="K1242">
            <v>17.778300000000002</v>
          </cell>
        </row>
        <row r="1243">
          <cell r="A1243">
            <v>31372</v>
          </cell>
          <cell r="J1243">
            <v>16.440000000000001</v>
          </cell>
          <cell r="K1243">
            <v>17.119</v>
          </cell>
        </row>
        <row r="1244">
          <cell r="A1244">
            <v>31373</v>
          </cell>
          <cell r="J1244">
            <v>18.440000000000001</v>
          </cell>
          <cell r="K1244">
            <v>18.044499999999999</v>
          </cell>
        </row>
        <row r="1245">
          <cell r="A1245">
            <v>31376</v>
          </cell>
          <cell r="J1245">
            <v>24.02</v>
          </cell>
          <cell r="K1245">
            <v>19.355799999999999</v>
          </cell>
        </row>
        <row r="1246">
          <cell r="A1246">
            <v>31377</v>
          </cell>
          <cell r="J1246">
            <v>23.71</v>
          </cell>
          <cell r="K1246">
            <v>18.704699999999999</v>
          </cell>
        </row>
        <row r="1247">
          <cell r="A1247">
            <v>31378</v>
          </cell>
          <cell r="J1247">
            <v>22.05</v>
          </cell>
          <cell r="K1247">
            <v>18.140599999999999</v>
          </cell>
        </row>
        <row r="1248">
          <cell r="A1248">
            <v>31379</v>
          </cell>
          <cell r="J1248">
            <v>20.58</v>
          </cell>
          <cell r="K1248">
            <v>17.757200000000001</v>
          </cell>
        </row>
        <row r="1249">
          <cell r="A1249">
            <v>31380</v>
          </cell>
          <cell r="J1249">
            <v>19.809999999999999</v>
          </cell>
          <cell r="K1249">
            <v>16.948</v>
          </cell>
        </row>
        <row r="1250">
          <cell r="A1250">
            <v>31383</v>
          </cell>
          <cell r="J1250">
            <v>19.48</v>
          </cell>
          <cell r="K1250">
            <v>16.645600000000002</v>
          </cell>
        </row>
        <row r="1251">
          <cell r="A1251">
            <v>31384</v>
          </cell>
          <cell r="J1251">
            <v>19.04</v>
          </cell>
          <cell r="K1251">
            <v>18.3721</v>
          </cell>
        </row>
        <row r="1252">
          <cell r="A1252">
            <v>31385</v>
          </cell>
          <cell r="J1252">
            <v>20.61</v>
          </cell>
          <cell r="K1252">
            <v>19.421900000000001</v>
          </cell>
        </row>
        <row r="1253">
          <cell r="A1253">
            <v>31386</v>
          </cell>
          <cell r="J1253">
            <v>20.51</v>
          </cell>
          <cell r="K1253">
            <v>19.347200000000001</v>
          </cell>
        </row>
        <row r="1254">
          <cell r="A1254">
            <v>31387</v>
          </cell>
          <cell r="J1254">
            <v>20.09</v>
          </cell>
          <cell r="K1254">
            <v>18.5367</v>
          </cell>
        </row>
        <row r="1255">
          <cell r="A1255">
            <v>31390</v>
          </cell>
          <cell r="J1255">
            <v>21.04</v>
          </cell>
          <cell r="K1255">
            <v>18.796700000000001</v>
          </cell>
        </row>
        <row r="1256">
          <cell r="A1256">
            <v>31391</v>
          </cell>
          <cell r="J1256">
            <v>20.45</v>
          </cell>
          <cell r="K1256">
            <v>19.113299999999999</v>
          </cell>
        </row>
        <row r="1257">
          <cell r="A1257">
            <v>31392</v>
          </cell>
          <cell r="J1257">
            <v>19.190000000000001</v>
          </cell>
          <cell r="K1257">
            <v>19.731400000000001</v>
          </cell>
        </row>
        <row r="1258">
          <cell r="A1258">
            <v>31393</v>
          </cell>
          <cell r="J1258">
            <v>18.18</v>
          </cell>
          <cell r="K1258">
            <v>19.635000000000002</v>
          </cell>
        </row>
        <row r="1259">
          <cell r="A1259">
            <v>31394</v>
          </cell>
          <cell r="J1259">
            <v>18.23</v>
          </cell>
          <cell r="K1259">
            <v>20.562000000000001</v>
          </cell>
        </row>
        <row r="1260">
          <cell r="A1260">
            <v>31397</v>
          </cell>
          <cell r="J1260">
            <v>17.350000000000001</v>
          </cell>
          <cell r="K1260">
            <v>19.747499999999999</v>
          </cell>
        </row>
        <row r="1261">
          <cell r="A1261">
            <v>31398</v>
          </cell>
          <cell r="J1261">
            <v>16.75</v>
          </cell>
          <cell r="K1261">
            <v>19.093900000000001</v>
          </cell>
        </row>
        <row r="1262">
          <cell r="A1262">
            <v>31399</v>
          </cell>
          <cell r="J1262">
            <v>16.100000000000001</v>
          </cell>
          <cell r="K1262">
            <v>18.279</v>
          </cell>
        </row>
        <row r="1263">
          <cell r="A1263">
            <v>31400</v>
          </cell>
          <cell r="J1263">
            <v>17.5</v>
          </cell>
          <cell r="K1263">
            <v>18.300699999999999</v>
          </cell>
        </row>
        <row r="1264">
          <cell r="A1264">
            <v>31401</v>
          </cell>
          <cell r="J1264">
            <v>16.829999999999998</v>
          </cell>
          <cell r="K1264">
            <v>17.491499999999998</v>
          </cell>
        </row>
        <row r="1265">
          <cell r="A1265">
            <v>31404</v>
          </cell>
          <cell r="J1265">
            <v>16.73</v>
          </cell>
          <cell r="K1265">
            <v>17.099399999999999</v>
          </cell>
        </row>
        <row r="1266">
          <cell r="A1266">
            <v>31405</v>
          </cell>
          <cell r="J1266">
            <v>18.73</v>
          </cell>
          <cell r="K1266">
            <v>17.706499999999998</v>
          </cell>
        </row>
        <row r="1267">
          <cell r="A1267">
            <v>31406</v>
          </cell>
          <cell r="J1267">
            <v>17.809999999999999</v>
          </cell>
          <cell r="K1267">
            <v>17.436800000000002</v>
          </cell>
        </row>
        <row r="1268">
          <cell r="A1268">
            <v>31407</v>
          </cell>
          <cell r="J1268">
            <v>17.010000000000002</v>
          </cell>
          <cell r="K1268">
            <v>16.808199999999999</v>
          </cell>
        </row>
        <row r="1269">
          <cell r="A1269">
            <v>31408</v>
          </cell>
          <cell r="J1269">
            <v>16.829999999999998</v>
          </cell>
          <cell r="K1269">
            <v>16.3292</v>
          </cell>
        </row>
        <row r="1270">
          <cell r="A1270">
            <v>31411</v>
          </cell>
          <cell r="J1270">
            <v>17.25</v>
          </cell>
          <cell r="K1270">
            <v>16.998000000000001</v>
          </cell>
        </row>
        <row r="1271">
          <cell r="A1271">
            <v>31412</v>
          </cell>
          <cell r="J1271">
            <v>19.14</v>
          </cell>
          <cell r="K1271">
            <v>17.8246</v>
          </cell>
        </row>
        <row r="1272">
          <cell r="A1272">
            <v>31413</v>
          </cell>
          <cell r="J1272">
            <v>18.09</v>
          </cell>
          <cell r="K1272">
            <v>16.896100000000001</v>
          </cell>
        </row>
        <row r="1273">
          <cell r="A1273">
            <v>31414</v>
          </cell>
          <cell r="J1273">
            <v>17.25</v>
          </cell>
          <cell r="K1273">
            <v>16.258800000000001</v>
          </cell>
        </row>
        <row r="1274">
          <cell r="A1274">
            <v>31415</v>
          </cell>
          <cell r="J1274">
            <v>19.260000000000002</v>
          </cell>
          <cell r="K1274">
            <v>17.048400000000001</v>
          </cell>
        </row>
        <row r="1275">
          <cell r="A1275">
            <v>31418</v>
          </cell>
          <cell r="J1275">
            <v>18.46</v>
          </cell>
          <cell r="K1275">
            <v>17.2182</v>
          </cell>
        </row>
        <row r="1276">
          <cell r="A1276">
            <v>31419</v>
          </cell>
          <cell r="J1276">
            <v>20.57</v>
          </cell>
          <cell r="K1276">
            <v>18.239699999999999</v>
          </cell>
        </row>
        <row r="1277">
          <cell r="A1277">
            <v>31420</v>
          </cell>
          <cell r="J1277">
            <v>19.309999999999999</v>
          </cell>
          <cell r="K1277">
            <v>17.518000000000001</v>
          </cell>
        </row>
        <row r="1278">
          <cell r="A1278">
            <v>31421</v>
          </cell>
          <cell r="J1278">
            <v>18.7</v>
          </cell>
          <cell r="K1278">
            <v>17.613700000000001</v>
          </cell>
        </row>
        <row r="1279">
          <cell r="A1279">
            <v>31422</v>
          </cell>
          <cell r="J1279">
            <v>27.13</v>
          </cell>
          <cell r="K1279">
            <v>23.5459</v>
          </cell>
        </row>
        <row r="1280">
          <cell r="A1280">
            <v>31425</v>
          </cell>
          <cell r="J1280">
            <v>25.19</v>
          </cell>
          <cell r="K1280">
            <v>22.397200000000002</v>
          </cell>
        </row>
        <row r="1281">
          <cell r="A1281">
            <v>31426</v>
          </cell>
          <cell r="J1281">
            <v>28.81</v>
          </cell>
          <cell r="K1281">
            <v>25.066199999999998</v>
          </cell>
        </row>
        <row r="1282">
          <cell r="A1282">
            <v>31427</v>
          </cell>
          <cell r="J1282">
            <v>26.62</v>
          </cell>
          <cell r="K1282">
            <v>24.4742</v>
          </cell>
        </row>
        <row r="1283">
          <cell r="A1283">
            <v>31428</v>
          </cell>
          <cell r="J1283">
            <v>25.18</v>
          </cell>
          <cell r="K1283">
            <v>24.328600000000002</v>
          </cell>
        </row>
        <row r="1284">
          <cell r="A1284">
            <v>31429</v>
          </cell>
          <cell r="J1284">
            <v>23.92</v>
          </cell>
          <cell r="K1284">
            <v>22.861899999999999</v>
          </cell>
        </row>
        <row r="1285">
          <cell r="A1285">
            <v>31432</v>
          </cell>
          <cell r="J1285">
            <v>22.36</v>
          </cell>
          <cell r="K1285">
            <v>22.375499999999999</v>
          </cell>
        </row>
        <row r="1286">
          <cell r="A1286">
            <v>31433</v>
          </cell>
          <cell r="J1286">
            <v>23.99</v>
          </cell>
          <cell r="K1286">
            <v>23.768000000000001</v>
          </cell>
        </row>
        <row r="1287">
          <cell r="A1287">
            <v>31434</v>
          </cell>
          <cell r="J1287">
            <v>22.25</v>
          </cell>
          <cell r="K1287">
            <v>23.3003</v>
          </cell>
        </row>
        <row r="1288">
          <cell r="A1288">
            <v>31435</v>
          </cell>
          <cell r="J1288">
            <v>20.74</v>
          </cell>
          <cell r="K1288">
            <v>23.3431</v>
          </cell>
        </row>
        <row r="1289">
          <cell r="A1289">
            <v>31436</v>
          </cell>
          <cell r="J1289">
            <v>20.03</v>
          </cell>
          <cell r="K1289">
            <v>24.825199999999999</v>
          </cell>
        </row>
        <row r="1290">
          <cell r="A1290">
            <v>31439</v>
          </cell>
          <cell r="J1290">
            <v>30.14</v>
          </cell>
          <cell r="K1290">
            <v>28.0016</v>
          </cell>
        </row>
        <row r="1291">
          <cell r="A1291">
            <v>31440</v>
          </cell>
          <cell r="J1291">
            <v>28.47</v>
          </cell>
          <cell r="K1291">
            <v>26.087399999999999</v>
          </cell>
        </row>
        <row r="1292">
          <cell r="A1292">
            <v>31441</v>
          </cell>
          <cell r="J1292">
            <v>26.15</v>
          </cell>
          <cell r="K1292">
            <v>27.3782</v>
          </cell>
        </row>
        <row r="1293">
          <cell r="A1293">
            <v>31442</v>
          </cell>
          <cell r="J1293">
            <v>24.85</v>
          </cell>
          <cell r="K1293">
            <v>25.7529</v>
          </cell>
        </row>
        <row r="1294">
          <cell r="A1294">
            <v>31443</v>
          </cell>
          <cell r="J1294">
            <v>23.18</v>
          </cell>
          <cell r="K1294">
            <v>25.768899999999999</v>
          </cell>
        </row>
        <row r="1295">
          <cell r="A1295">
            <v>31446</v>
          </cell>
          <cell r="J1295">
            <v>21.98</v>
          </cell>
          <cell r="K1295">
            <v>24.115600000000001</v>
          </cell>
        </row>
        <row r="1296">
          <cell r="A1296">
            <v>31447</v>
          </cell>
          <cell r="J1296">
            <v>20.75</v>
          </cell>
          <cell r="K1296">
            <v>23.574400000000001</v>
          </cell>
        </row>
        <row r="1297">
          <cell r="A1297">
            <v>31448</v>
          </cell>
          <cell r="J1297">
            <v>23.59</v>
          </cell>
          <cell r="K1297">
            <v>24.058399999999999</v>
          </cell>
        </row>
        <row r="1298">
          <cell r="A1298">
            <v>31449</v>
          </cell>
          <cell r="J1298">
            <v>22.11</v>
          </cell>
          <cell r="K1298">
            <v>22.802399999999999</v>
          </cell>
        </row>
        <row r="1299">
          <cell r="A1299">
            <v>31450</v>
          </cell>
          <cell r="J1299">
            <v>22.14</v>
          </cell>
          <cell r="K1299">
            <v>21.697099999999999</v>
          </cell>
        </row>
        <row r="1300">
          <cell r="A1300">
            <v>31453</v>
          </cell>
          <cell r="J1300">
            <v>20.67</v>
          </cell>
          <cell r="K1300">
            <v>20.933900000000001</v>
          </cell>
        </row>
        <row r="1301">
          <cell r="A1301">
            <v>31454</v>
          </cell>
          <cell r="J1301">
            <v>20.329999999999998</v>
          </cell>
          <cell r="K1301">
            <v>20.3826</v>
          </cell>
        </row>
        <row r="1302">
          <cell r="A1302">
            <v>31455</v>
          </cell>
          <cell r="J1302">
            <v>22.13</v>
          </cell>
          <cell r="K1302">
            <v>20.562200000000001</v>
          </cell>
        </row>
        <row r="1303">
          <cell r="A1303">
            <v>31456</v>
          </cell>
          <cell r="J1303">
            <v>21.4</v>
          </cell>
          <cell r="K1303">
            <v>19.762699999999999</v>
          </cell>
        </row>
        <row r="1304">
          <cell r="A1304">
            <v>31457</v>
          </cell>
          <cell r="J1304">
            <v>20.260000000000002</v>
          </cell>
          <cell r="K1304">
            <v>20.527200000000001</v>
          </cell>
        </row>
        <row r="1305">
          <cell r="A1305">
            <v>31460</v>
          </cell>
          <cell r="J1305">
            <v>19.72</v>
          </cell>
          <cell r="K1305">
            <v>19.577999999999999</v>
          </cell>
        </row>
        <row r="1306">
          <cell r="A1306">
            <v>31461</v>
          </cell>
          <cell r="J1306">
            <v>18.7</v>
          </cell>
          <cell r="K1306">
            <v>20.061699999999998</v>
          </cell>
        </row>
        <row r="1307">
          <cell r="A1307">
            <v>31462</v>
          </cell>
          <cell r="J1307">
            <v>18.170000000000002</v>
          </cell>
          <cell r="K1307">
            <v>20.369900000000001</v>
          </cell>
        </row>
        <row r="1308">
          <cell r="A1308">
            <v>31463</v>
          </cell>
          <cell r="J1308">
            <v>26.31</v>
          </cell>
          <cell r="K1308">
            <v>21.552700000000002</v>
          </cell>
        </row>
        <row r="1309">
          <cell r="A1309">
            <v>31464</v>
          </cell>
          <cell r="J1309">
            <v>26.21</v>
          </cell>
          <cell r="K1309">
            <v>23.079899999999999</v>
          </cell>
        </row>
        <row r="1310">
          <cell r="A1310">
            <v>31467</v>
          </cell>
          <cell r="J1310">
            <v>28.75</v>
          </cell>
          <cell r="K1310">
            <v>23.298300000000001</v>
          </cell>
        </row>
        <row r="1311">
          <cell r="A1311">
            <v>31468</v>
          </cell>
          <cell r="J1311">
            <v>33.630000000000003</v>
          </cell>
          <cell r="K1311">
            <v>25.4983</v>
          </cell>
        </row>
        <row r="1312">
          <cell r="A1312">
            <v>31469</v>
          </cell>
          <cell r="J1312">
            <v>30.8</v>
          </cell>
          <cell r="K1312">
            <v>24.710799999999999</v>
          </cell>
        </row>
        <row r="1313">
          <cell r="A1313">
            <v>31470</v>
          </cell>
          <cell r="J1313">
            <v>29.26</v>
          </cell>
          <cell r="K1313">
            <v>23.6523</v>
          </cell>
        </row>
        <row r="1314">
          <cell r="A1314">
            <v>31471</v>
          </cell>
          <cell r="J1314">
            <v>26.86</v>
          </cell>
          <cell r="K1314">
            <v>22.212800000000001</v>
          </cell>
        </row>
        <row r="1315">
          <cell r="A1315">
            <v>31474</v>
          </cell>
          <cell r="J1315">
            <v>28.17</v>
          </cell>
          <cell r="K1315">
            <v>25.8109</v>
          </cell>
        </row>
        <row r="1316">
          <cell r="A1316">
            <v>31475</v>
          </cell>
          <cell r="J1316">
            <v>35.07</v>
          </cell>
          <cell r="K1316">
            <v>29.4803</v>
          </cell>
        </row>
        <row r="1317">
          <cell r="A1317">
            <v>31476</v>
          </cell>
          <cell r="J1317">
            <v>34.6</v>
          </cell>
          <cell r="K1317">
            <v>30.279800000000002</v>
          </cell>
        </row>
        <row r="1318">
          <cell r="A1318">
            <v>31477</v>
          </cell>
          <cell r="J1318">
            <v>31.76</v>
          </cell>
          <cell r="K1318">
            <v>28.344000000000001</v>
          </cell>
        </row>
        <row r="1319">
          <cell r="A1319">
            <v>31478</v>
          </cell>
          <cell r="J1319">
            <v>29.81</v>
          </cell>
          <cell r="K1319">
            <v>26.703499999999998</v>
          </cell>
        </row>
        <row r="1320">
          <cell r="A1320">
            <v>31481</v>
          </cell>
          <cell r="J1320">
            <v>29.58</v>
          </cell>
          <cell r="K1320">
            <v>26.046399999999998</v>
          </cell>
        </row>
        <row r="1321">
          <cell r="A1321">
            <v>31482</v>
          </cell>
          <cell r="J1321">
            <v>28.66</v>
          </cell>
          <cell r="K1321">
            <v>25.4331</v>
          </cell>
        </row>
        <row r="1322">
          <cell r="A1322">
            <v>31483</v>
          </cell>
          <cell r="J1322">
            <v>27.84</v>
          </cell>
          <cell r="K1322">
            <v>28.21</v>
          </cell>
        </row>
        <row r="1323">
          <cell r="A1323">
            <v>31484</v>
          </cell>
          <cell r="J1323">
            <v>25.64</v>
          </cell>
          <cell r="K1323">
            <v>26.8809</v>
          </cell>
        </row>
        <row r="1324">
          <cell r="A1324">
            <v>31485</v>
          </cell>
          <cell r="J1324">
            <v>23.91</v>
          </cell>
          <cell r="K1324">
            <v>25.4194</v>
          </cell>
        </row>
        <row r="1325">
          <cell r="A1325">
            <v>31488</v>
          </cell>
          <cell r="J1325">
            <v>29.96</v>
          </cell>
          <cell r="K1325">
            <v>26.246200000000002</v>
          </cell>
        </row>
        <row r="1326">
          <cell r="A1326">
            <v>31489</v>
          </cell>
          <cell r="J1326">
            <v>29.6</v>
          </cell>
          <cell r="K1326">
            <v>25.875800000000002</v>
          </cell>
        </row>
        <row r="1327">
          <cell r="A1327">
            <v>31490</v>
          </cell>
          <cell r="J1327">
            <v>32.840000000000003</v>
          </cell>
          <cell r="K1327">
            <v>27.879899999999999</v>
          </cell>
        </row>
        <row r="1328">
          <cell r="A1328">
            <v>31491</v>
          </cell>
          <cell r="J1328">
            <v>30.97</v>
          </cell>
          <cell r="K1328">
            <v>26.389900000000001</v>
          </cell>
        </row>
        <row r="1329">
          <cell r="A1329">
            <v>31492</v>
          </cell>
          <cell r="J1329">
            <v>30.66</v>
          </cell>
          <cell r="K1329">
            <v>26.0382</v>
          </cell>
        </row>
        <row r="1330">
          <cell r="A1330">
            <v>31495</v>
          </cell>
          <cell r="J1330">
            <v>28.36</v>
          </cell>
          <cell r="K1330">
            <v>26.032800000000002</v>
          </cell>
        </row>
        <row r="1331">
          <cell r="A1331">
            <v>31496</v>
          </cell>
          <cell r="J1331">
            <v>26.19</v>
          </cell>
          <cell r="K1331">
            <v>26.699300000000001</v>
          </cell>
        </row>
        <row r="1332">
          <cell r="A1332">
            <v>31497</v>
          </cell>
          <cell r="J1332">
            <v>24.24</v>
          </cell>
          <cell r="K1332">
            <v>28.262</v>
          </cell>
        </row>
        <row r="1333">
          <cell r="A1333">
            <v>31498</v>
          </cell>
          <cell r="J1333">
            <v>23.02</v>
          </cell>
          <cell r="K1333">
            <v>26.348500000000001</v>
          </cell>
        </row>
        <row r="1334">
          <cell r="A1334">
            <v>31499</v>
          </cell>
          <cell r="J1334">
            <v>21.82</v>
          </cell>
          <cell r="K1334">
            <v>25.5014</v>
          </cell>
        </row>
        <row r="1335">
          <cell r="A1335">
            <v>31502</v>
          </cell>
          <cell r="J1335">
            <v>20.43</v>
          </cell>
          <cell r="K1335">
            <v>23.8047</v>
          </cell>
        </row>
        <row r="1336">
          <cell r="A1336">
            <v>31503</v>
          </cell>
          <cell r="J1336">
            <v>19.45</v>
          </cell>
          <cell r="K1336">
            <v>22.818899999999999</v>
          </cell>
        </row>
        <row r="1337">
          <cell r="A1337">
            <v>31504</v>
          </cell>
          <cell r="J1337">
            <v>20.260000000000002</v>
          </cell>
          <cell r="K1337">
            <v>21.627400000000002</v>
          </cell>
        </row>
        <row r="1338">
          <cell r="A1338">
            <v>31505</v>
          </cell>
          <cell r="J1338">
            <v>26.48</v>
          </cell>
          <cell r="K1338">
            <v>22.775200000000002</v>
          </cell>
        </row>
        <row r="1339">
          <cell r="A1339">
            <v>31506</v>
          </cell>
          <cell r="J1339">
            <v>24.93</v>
          </cell>
          <cell r="K1339">
            <v>21.758800000000001</v>
          </cell>
        </row>
        <row r="1340">
          <cell r="A1340">
            <v>31509</v>
          </cell>
          <cell r="J1340">
            <v>23.12</v>
          </cell>
          <cell r="K1340">
            <v>20.974</v>
          </cell>
        </row>
        <row r="1341">
          <cell r="A1341">
            <v>31510</v>
          </cell>
          <cell r="J1341">
            <v>23.58</v>
          </cell>
          <cell r="K1341">
            <v>21.183900000000001</v>
          </cell>
        </row>
        <row r="1342">
          <cell r="A1342">
            <v>31511</v>
          </cell>
          <cell r="J1342">
            <v>22.33</v>
          </cell>
          <cell r="K1342">
            <v>23.6358</v>
          </cell>
        </row>
        <row r="1343">
          <cell r="A1343">
            <v>31512</v>
          </cell>
          <cell r="J1343">
            <v>24.57</v>
          </cell>
          <cell r="K1343">
            <v>22.999700000000001</v>
          </cell>
        </row>
        <row r="1344">
          <cell r="A1344">
            <v>31513</v>
          </cell>
          <cell r="J1344">
            <v>26.26</v>
          </cell>
          <cell r="K1344">
            <v>22.6372</v>
          </cell>
        </row>
        <row r="1345">
          <cell r="A1345">
            <v>31516</v>
          </cell>
          <cell r="J1345">
            <v>25.1</v>
          </cell>
          <cell r="K1345">
            <v>22.539300000000001</v>
          </cell>
        </row>
        <row r="1346">
          <cell r="A1346">
            <v>31517</v>
          </cell>
          <cell r="J1346">
            <v>23.65</v>
          </cell>
          <cell r="K1346">
            <v>21.4892</v>
          </cell>
        </row>
        <row r="1347">
          <cell r="A1347">
            <v>31518</v>
          </cell>
          <cell r="J1347">
            <v>22.01</v>
          </cell>
          <cell r="K1347">
            <v>21.277100000000001</v>
          </cell>
        </row>
        <row r="1348">
          <cell r="A1348">
            <v>31519</v>
          </cell>
          <cell r="J1348">
            <v>20.55</v>
          </cell>
          <cell r="K1348">
            <v>24.6524</v>
          </cell>
        </row>
        <row r="1349">
          <cell r="A1349">
            <v>31520</v>
          </cell>
          <cell r="J1349">
            <v>19.5</v>
          </cell>
          <cell r="K1349">
            <v>23.616700000000002</v>
          </cell>
        </row>
        <row r="1350">
          <cell r="A1350">
            <v>31523</v>
          </cell>
          <cell r="J1350">
            <v>21.29</v>
          </cell>
          <cell r="K1350">
            <v>23.788399999999999</v>
          </cell>
        </row>
        <row r="1351">
          <cell r="A1351">
            <v>31524</v>
          </cell>
          <cell r="J1351">
            <v>24.13</v>
          </cell>
          <cell r="K1351">
            <v>23.365400000000001</v>
          </cell>
        </row>
        <row r="1352">
          <cell r="A1352">
            <v>31525</v>
          </cell>
          <cell r="J1352">
            <v>24.65</v>
          </cell>
          <cell r="K1352">
            <v>22.3093</v>
          </cell>
        </row>
        <row r="1353">
          <cell r="A1353">
            <v>31526</v>
          </cell>
          <cell r="J1353">
            <v>24.82</v>
          </cell>
          <cell r="K1353">
            <v>25.153199999999998</v>
          </cell>
        </row>
        <row r="1354">
          <cell r="A1354">
            <v>31527</v>
          </cell>
          <cell r="J1354">
            <v>23.05</v>
          </cell>
          <cell r="K1354">
            <v>24.3126</v>
          </cell>
        </row>
        <row r="1355">
          <cell r="A1355">
            <v>31530</v>
          </cell>
          <cell r="J1355">
            <v>22.14</v>
          </cell>
          <cell r="K1355">
            <v>23.0215</v>
          </cell>
        </row>
        <row r="1356">
          <cell r="A1356">
            <v>31531</v>
          </cell>
          <cell r="J1356">
            <v>20.66</v>
          </cell>
          <cell r="K1356">
            <v>22.395700000000001</v>
          </cell>
        </row>
        <row r="1357">
          <cell r="A1357">
            <v>31532</v>
          </cell>
          <cell r="J1357">
            <v>22.74</v>
          </cell>
          <cell r="K1357">
            <v>23.663900000000002</v>
          </cell>
        </row>
        <row r="1358">
          <cell r="A1358">
            <v>31533</v>
          </cell>
          <cell r="J1358">
            <v>24.99</v>
          </cell>
          <cell r="K1358">
            <v>24.107299999999999</v>
          </cell>
        </row>
        <row r="1359">
          <cell r="A1359">
            <v>31534</v>
          </cell>
          <cell r="J1359">
            <v>23.17</v>
          </cell>
          <cell r="K1359">
            <v>23.189299999999999</v>
          </cell>
        </row>
        <row r="1360">
          <cell r="A1360">
            <v>31537</v>
          </cell>
          <cell r="J1360">
            <v>22.51</v>
          </cell>
          <cell r="K1360">
            <v>25.426400000000001</v>
          </cell>
        </row>
        <row r="1361">
          <cell r="A1361">
            <v>31538</v>
          </cell>
          <cell r="J1361">
            <v>25.51</v>
          </cell>
          <cell r="K1361">
            <v>26.064499999999999</v>
          </cell>
        </row>
        <row r="1362">
          <cell r="A1362">
            <v>31539</v>
          </cell>
          <cell r="J1362">
            <v>23.6</v>
          </cell>
          <cell r="K1362">
            <v>25.653600000000001</v>
          </cell>
        </row>
        <row r="1363">
          <cell r="A1363">
            <v>31540</v>
          </cell>
          <cell r="J1363">
            <v>22.81</v>
          </cell>
          <cell r="K1363">
            <v>24.840699999999998</v>
          </cell>
        </row>
        <row r="1364">
          <cell r="A1364">
            <v>31541</v>
          </cell>
          <cell r="J1364">
            <v>21.99</v>
          </cell>
          <cell r="K1364">
            <v>23.417300000000001</v>
          </cell>
        </row>
        <row r="1365">
          <cell r="A1365">
            <v>31544</v>
          </cell>
          <cell r="J1365">
            <v>20.53</v>
          </cell>
          <cell r="K1365">
            <v>24.0396</v>
          </cell>
        </row>
        <row r="1366">
          <cell r="A1366">
            <v>31545</v>
          </cell>
          <cell r="J1366">
            <v>19.84</v>
          </cell>
          <cell r="K1366">
            <v>25.150600000000001</v>
          </cell>
        </row>
        <row r="1367">
          <cell r="A1367">
            <v>31546</v>
          </cell>
          <cell r="J1367">
            <v>20.75</v>
          </cell>
          <cell r="K1367">
            <v>24.1205</v>
          </cell>
        </row>
        <row r="1368">
          <cell r="A1368">
            <v>31547</v>
          </cell>
          <cell r="J1368">
            <v>19.87</v>
          </cell>
          <cell r="K1368">
            <v>24.062799999999999</v>
          </cell>
        </row>
        <row r="1369">
          <cell r="A1369">
            <v>31548</v>
          </cell>
          <cell r="J1369">
            <v>19.45</v>
          </cell>
          <cell r="K1369">
            <v>23.581399999999999</v>
          </cell>
        </row>
        <row r="1370">
          <cell r="A1370">
            <v>31551</v>
          </cell>
          <cell r="J1370">
            <v>23.86</v>
          </cell>
          <cell r="K1370">
            <v>26.5915</v>
          </cell>
        </row>
        <row r="1371">
          <cell r="A1371">
            <v>31552</v>
          </cell>
          <cell r="J1371">
            <v>22.65</v>
          </cell>
          <cell r="K1371">
            <v>25.0654</v>
          </cell>
        </row>
        <row r="1372">
          <cell r="A1372">
            <v>31553</v>
          </cell>
          <cell r="J1372">
            <v>24.27</v>
          </cell>
          <cell r="K1372">
            <v>24.125900000000001</v>
          </cell>
        </row>
        <row r="1373">
          <cell r="A1373">
            <v>31554</v>
          </cell>
          <cell r="J1373">
            <v>24.45</v>
          </cell>
          <cell r="K1373">
            <v>23.286200000000001</v>
          </cell>
        </row>
        <row r="1374">
          <cell r="A1374">
            <v>31555</v>
          </cell>
          <cell r="J1374">
            <v>28.96</v>
          </cell>
          <cell r="K1374">
            <v>29.588699999999999</v>
          </cell>
        </row>
        <row r="1375">
          <cell r="A1375">
            <v>31558</v>
          </cell>
          <cell r="J1375">
            <v>36.979999999999997</v>
          </cell>
          <cell r="K1375">
            <v>31.3766</v>
          </cell>
        </row>
        <row r="1376">
          <cell r="A1376">
            <v>31559</v>
          </cell>
          <cell r="J1376">
            <v>49.73</v>
          </cell>
          <cell r="K1376">
            <v>36.677799999999998</v>
          </cell>
        </row>
        <row r="1377">
          <cell r="A1377">
            <v>31560</v>
          </cell>
          <cell r="J1377">
            <v>45.08</v>
          </cell>
          <cell r="K1377">
            <v>34.953400000000002</v>
          </cell>
        </row>
        <row r="1378">
          <cell r="A1378">
            <v>31561</v>
          </cell>
          <cell r="J1378">
            <v>40.909999999999997</v>
          </cell>
          <cell r="K1378">
            <v>32.4758</v>
          </cell>
        </row>
        <row r="1379">
          <cell r="A1379">
            <v>31562</v>
          </cell>
          <cell r="J1379">
            <v>37.590000000000003</v>
          </cell>
          <cell r="K1379">
            <v>31.139600000000002</v>
          </cell>
        </row>
        <row r="1380">
          <cell r="A1380">
            <v>31565</v>
          </cell>
          <cell r="J1380">
            <v>34.340000000000003</v>
          </cell>
          <cell r="K1380">
            <v>29.441700000000001</v>
          </cell>
        </row>
        <row r="1381">
          <cell r="A1381">
            <v>31566</v>
          </cell>
          <cell r="J1381">
            <v>34.049999999999997</v>
          </cell>
          <cell r="K1381">
            <v>28.797000000000001</v>
          </cell>
        </row>
        <row r="1382">
          <cell r="A1382">
            <v>31567</v>
          </cell>
          <cell r="J1382">
            <v>31.19</v>
          </cell>
          <cell r="K1382">
            <v>27.098700000000001</v>
          </cell>
        </row>
        <row r="1383">
          <cell r="A1383">
            <v>31568</v>
          </cell>
          <cell r="J1383">
            <v>32.4</v>
          </cell>
          <cell r="K1383">
            <v>27.589500000000001</v>
          </cell>
        </row>
        <row r="1384">
          <cell r="A1384">
            <v>31569</v>
          </cell>
          <cell r="J1384">
            <v>33.28</v>
          </cell>
          <cell r="K1384">
            <v>28.469100000000001</v>
          </cell>
        </row>
        <row r="1385">
          <cell r="A1385">
            <v>31572</v>
          </cell>
          <cell r="J1385">
            <v>30.54</v>
          </cell>
          <cell r="K1385">
            <v>26.9863</v>
          </cell>
        </row>
        <row r="1386">
          <cell r="A1386">
            <v>31573</v>
          </cell>
          <cell r="J1386">
            <v>29.27</v>
          </cell>
          <cell r="K1386">
            <v>25.725200000000001</v>
          </cell>
        </row>
        <row r="1387">
          <cell r="A1387">
            <v>31574</v>
          </cell>
          <cell r="J1387">
            <v>27</v>
          </cell>
          <cell r="K1387">
            <v>24.216100000000001</v>
          </cell>
        </row>
        <row r="1388">
          <cell r="A1388">
            <v>31575</v>
          </cell>
          <cell r="J1388">
            <v>25.11</v>
          </cell>
          <cell r="K1388">
            <v>22.755600000000001</v>
          </cell>
        </row>
        <row r="1389">
          <cell r="A1389">
            <v>31576</v>
          </cell>
          <cell r="J1389">
            <v>23.85</v>
          </cell>
          <cell r="K1389">
            <v>21.931999999999999</v>
          </cell>
        </row>
        <row r="1390">
          <cell r="A1390">
            <v>31579</v>
          </cell>
          <cell r="J1390">
            <v>22.3</v>
          </cell>
          <cell r="K1390">
            <v>21.8553</v>
          </cell>
        </row>
        <row r="1391">
          <cell r="A1391">
            <v>31580</v>
          </cell>
          <cell r="J1391">
            <v>21.46</v>
          </cell>
          <cell r="K1391">
            <v>22.070799999999998</v>
          </cell>
        </row>
        <row r="1392">
          <cell r="A1392">
            <v>31581</v>
          </cell>
          <cell r="J1392">
            <v>20.46</v>
          </cell>
          <cell r="K1392">
            <v>21.670999999999999</v>
          </cell>
        </row>
        <row r="1393">
          <cell r="A1393">
            <v>31582</v>
          </cell>
          <cell r="J1393">
            <v>23.46</v>
          </cell>
          <cell r="K1393">
            <v>22.025200000000002</v>
          </cell>
        </row>
        <row r="1394">
          <cell r="A1394">
            <v>31583</v>
          </cell>
          <cell r="J1394">
            <v>21.94</v>
          </cell>
          <cell r="K1394">
            <v>21.558700000000002</v>
          </cell>
        </row>
        <row r="1395">
          <cell r="A1395">
            <v>31586</v>
          </cell>
          <cell r="J1395">
            <v>21.78</v>
          </cell>
          <cell r="K1395">
            <v>21.753</v>
          </cell>
        </row>
        <row r="1396">
          <cell r="A1396">
            <v>31587</v>
          </cell>
          <cell r="J1396">
            <v>20.37</v>
          </cell>
          <cell r="K1396">
            <v>21.247399999999999</v>
          </cell>
        </row>
        <row r="1397">
          <cell r="A1397">
            <v>31588</v>
          </cell>
          <cell r="J1397">
            <v>22.37</v>
          </cell>
          <cell r="K1397">
            <v>21.436399999999999</v>
          </cell>
        </row>
        <row r="1398">
          <cell r="A1398">
            <v>31589</v>
          </cell>
          <cell r="J1398">
            <v>25.08</v>
          </cell>
          <cell r="K1398">
            <v>21.698699999999999</v>
          </cell>
        </row>
        <row r="1399">
          <cell r="A1399">
            <v>31590</v>
          </cell>
          <cell r="J1399">
            <v>23.22</v>
          </cell>
          <cell r="K1399">
            <v>22.009699999999999</v>
          </cell>
        </row>
        <row r="1400">
          <cell r="A1400">
            <v>31593</v>
          </cell>
          <cell r="J1400">
            <v>21.84</v>
          </cell>
          <cell r="K1400">
            <v>21.104199999999999</v>
          </cell>
        </row>
        <row r="1401">
          <cell r="A1401">
            <v>31594</v>
          </cell>
          <cell r="J1401">
            <v>21.11</v>
          </cell>
          <cell r="K1401">
            <v>20.478999999999999</v>
          </cell>
        </row>
        <row r="1402">
          <cell r="A1402">
            <v>31595</v>
          </cell>
          <cell r="J1402">
            <v>19.84</v>
          </cell>
          <cell r="K1402">
            <v>19.922999999999998</v>
          </cell>
        </row>
        <row r="1403">
          <cell r="A1403">
            <v>31596</v>
          </cell>
          <cell r="J1403">
            <v>18.68</v>
          </cell>
          <cell r="K1403">
            <v>19.026</v>
          </cell>
        </row>
        <row r="1404">
          <cell r="A1404">
            <v>31597</v>
          </cell>
          <cell r="J1404">
            <v>23.88</v>
          </cell>
          <cell r="K1404">
            <v>20.793099999999999</v>
          </cell>
        </row>
        <row r="1405">
          <cell r="A1405">
            <v>31600</v>
          </cell>
          <cell r="J1405">
            <v>23.08</v>
          </cell>
          <cell r="K1405">
            <v>22.242599999999999</v>
          </cell>
        </row>
        <row r="1406">
          <cell r="A1406">
            <v>31601</v>
          </cell>
          <cell r="J1406">
            <v>21.57</v>
          </cell>
          <cell r="K1406">
            <v>24.656099999999999</v>
          </cell>
        </row>
        <row r="1407">
          <cell r="A1407">
            <v>31602</v>
          </cell>
          <cell r="J1407">
            <v>23.3</v>
          </cell>
          <cell r="K1407">
            <v>25.801400000000001</v>
          </cell>
        </row>
        <row r="1408">
          <cell r="A1408">
            <v>31603</v>
          </cell>
          <cell r="J1408">
            <v>21.75</v>
          </cell>
          <cell r="K1408">
            <v>24.0107</v>
          </cell>
        </row>
        <row r="1409">
          <cell r="A1409">
            <v>31604</v>
          </cell>
          <cell r="J1409">
            <v>20.73</v>
          </cell>
          <cell r="K1409">
            <v>22.674199999999999</v>
          </cell>
        </row>
        <row r="1410">
          <cell r="A1410">
            <v>31607</v>
          </cell>
          <cell r="J1410">
            <v>19.59</v>
          </cell>
          <cell r="K1410">
            <v>21.611000000000001</v>
          </cell>
        </row>
        <row r="1411">
          <cell r="A1411">
            <v>31608</v>
          </cell>
          <cell r="J1411">
            <v>18.86</v>
          </cell>
          <cell r="K1411">
            <v>23.621200000000002</v>
          </cell>
        </row>
        <row r="1412">
          <cell r="A1412">
            <v>31609</v>
          </cell>
          <cell r="J1412">
            <v>20.36</v>
          </cell>
          <cell r="K1412">
            <v>23.2058</v>
          </cell>
        </row>
        <row r="1413">
          <cell r="A1413">
            <v>31610</v>
          </cell>
          <cell r="J1413">
            <v>20.49</v>
          </cell>
          <cell r="K1413">
            <v>23.854800000000001</v>
          </cell>
        </row>
        <row r="1414">
          <cell r="A1414">
            <v>31611</v>
          </cell>
          <cell r="J1414">
            <v>19.309999999999999</v>
          </cell>
          <cell r="K1414">
            <v>22.347899999999999</v>
          </cell>
        </row>
        <row r="1415">
          <cell r="A1415">
            <v>31614</v>
          </cell>
          <cell r="J1415">
            <v>18.21</v>
          </cell>
          <cell r="K1415">
            <v>22.264600000000002</v>
          </cell>
        </row>
        <row r="1416">
          <cell r="A1416">
            <v>31615</v>
          </cell>
          <cell r="J1416">
            <v>17.54</v>
          </cell>
          <cell r="K1416">
            <v>21.962900000000001</v>
          </cell>
        </row>
        <row r="1417">
          <cell r="A1417">
            <v>31616</v>
          </cell>
          <cell r="J1417">
            <v>17.2</v>
          </cell>
          <cell r="K1417">
            <v>21.084299999999999</v>
          </cell>
        </row>
        <row r="1418">
          <cell r="A1418">
            <v>31617</v>
          </cell>
          <cell r="J1418">
            <v>16.45</v>
          </cell>
          <cell r="K1418">
            <v>19.9115</v>
          </cell>
        </row>
        <row r="1419">
          <cell r="A1419">
            <v>31618</v>
          </cell>
          <cell r="J1419">
            <v>20.91</v>
          </cell>
          <cell r="K1419">
            <v>20.379000000000001</v>
          </cell>
        </row>
        <row r="1420">
          <cell r="A1420">
            <v>31621</v>
          </cell>
          <cell r="J1420">
            <v>19.77</v>
          </cell>
          <cell r="K1420">
            <v>19.630700000000001</v>
          </cell>
        </row>
        <row r="1421">
          <cell r="A1421">
            <v>31622</v>
          </cell>
          <cell r="J1421">
            <v>22.34</v>
          </cell>
          <cell r="K1421">
            <v>19.546199999999999</v>
          </cell>
        </row>
        <row r="1422">
          <cell r="A1422">
            <v>31623</v>
          </cell>
          <cell r="J1422">
            <v>21.2</v>
          </cell>
          <cell r="K1422">
            <v>19.7773</v>
          </cell>
        </row>
        <row r="1423">
          <cell r="A1423">
            <v>31624</v>
          </cell>
          <cell r="J1423">
            <v>19.920000000000002</v>
          </cell>
          <cell r="K1423">
            <v>19.685199999999998</v>
          </cell>
        </row>
        <row r="1424">
          <cell r="A1424">
            <v>31625</v>
          </cell>
          <cell r="J1424">
            <v>18.75</v>
          </cell>
          <cell r="K1424">
            <v>18.687200000000001</v>
          </cell>
        </row>
        <row r="1425">
          <cell r="A1425">
            <v>31628</v>
          </cell>
          <cell r="J1425">
            <v>17.899999999999999</v>
          </cell>
          <cell r="K1425">
            <v>17.9819</v>
          </cell>
        </row>
        <row r="1426">
          <cell r="A1426">
            <v>31629</v>
          </cell>
          <cell r="J1426">
            <v>17.059999999999999</v>
          </cell>
          <cell r="K1426">
            <v>17.9436</v>
          </cell>
        </row>
        <row r="1427">
          <cell r="A1427">
            <v>31630</v>
          </cell>
          <cell r="J1427">
            <v>16.649999999999999</v>
          </cell>
          <cell r="K1427">
            <v>18.636700000000001</v>
          </cell>
        </row>
        <row r="1428">
          <cell r="A1428">
            <v>31631</v>
          </cell>
          <cell r="J1428">
            <v>16.34</v>
          </cell>
          <cell r="K1428">
            <v>19.753299999999999</v>
          </cell>
        </row>
        <row r="1429">
          <cell r="A1429">
            <v>31632</v>
          </cell>
          <cell r="J1429">
            <v>16.100000000000001</v>
          </cell>
          <cell r="K1429">
            <v>19.208400000000001</v>
          </cell>
        </row>
        <row r="1430">
          <cell r="A1430">
            <v>31635</v>
          </cell>
          <cell r="J1430">
            <v>16.309999999999999</v>
          </cell>
          <cell r="K1430">
            <v>19.8339</v>
          </cell>
        </row>
        <row r="1431">
          <cell r="A1431">
            <v>31636</v>
          </cell>
          <cell r="J1431">
            <v>16.39</v>
          </cell>
          <cell r="K1431">
            <v>20.940200000000001</v>
          </cell>
        </row>
        <row r="1432">
          <cell r="A1432">
            <v>31637</v>
          </cell>
          <cell r="J1432">
            <v>15.86</v>
          </cell>
          <cell r="K1432">
            <v>19.876300000000001</v>
          </cell>
        </row>
        <row r="1433">
          <cell r="A1433">
            <v>31638</v>
          </cell>
          <cell r="J1433">
            <v>15.33</v>
          </cell>
          <cell r="K1433">
            <v>19.2148</v>
          </cell>
        </row>
        <row r="1434">
          <cell r="A1434">
            <v>31639</v>
          </cell>
          <cell r="J1434">
            <v>15.07</v>
          </cell>
          <cell r="K1434">
            <v>18.349</v>
          </cell>
        </row>
        <row r="1435">
          <cell r="A1435">
            <v>31642</v>
          </cell>
          <cell r="J1435">
            <v>14.73</v>
          </cell>
          <cell r="K1435">
            <v>18.301100000000002</v>
          </cell>
        </row>
        <row r="1436">
          <cell r="A1436">
            <v>31643</v>
          </cell>
          <cell r="J1436">
            <v>14.36</v>
          </cell>
          <cell r="K1436">
            <v>18.2257</v>
          </cell>
        </row>
        <row r="1437">
          <cell r="A1437">
            <v>31644</v>
          </cell>
          <cell r="J1437">
            <v>15.26</v>
          </cell>
          <cell r="K1437">
            <v>17.466000000000001</v>
          </cell>
        </row>
        <row r="1438">
          <cell r="A1438">
            <v>31645</v>
          </cell>
          <cell r="J1438">
            <v>15.63</v>
          </cell>
          <cell r="K1438">
            <v>16.947399999999998</v>
          </cell>
        </row>
        <row r="1439">
          <cell r="A1439">
            <v>31646</v>
          </cell>
          <cell r="J1439">
            <v>15.43</v>
          </cell>
          <cell r="K1439">
            <v>16.221299999999999</v>
          </cell>
        </row>
        <row r="1440">
          <cell r="A1440">
            <v>31649</v>
          </cell>
          <cell r="J1440">
            <v>15.69</v>
          </cell>
          <cell r="K1440">
            <v>15.8428</v>
          </cell>
        </row>
        <row r="1441">
          <cell r="A1441">
            <v>31650</v>
          </cell>
          <cell r="J1441">
            <v>15.93</v>
          </cell>
          <cell r="K1441">
            <v>16.343599999999999</v>
          </cell>
        </row>
        <row r="1442">
          <cell r="A1442">
            <v>31651</v>
          </cell>
          <cell r="J1442">
            <v>15.45</v>
          </cell>
          <cell r="K1442">
            <v>15.9795</v>
          </cell>
        </row>
        <row r="1443">
          <cell r="A1443">
            <v>31652</v>
          </cell>
          <cell r="J1443">
            <v>15.45</v>
          </cell>
          <cell r="K1443">
            <v>15.543100000000001</v>
          </cell>
        </row>
        <row r="1444">
          <cell r="A1444">
            <v>31653</v>
          </cell>
          <cell r="J1444">
            <v>15.2</v>
          </cell>
          <cell r="K1444">
            <v>15.358499999999999</v>
          </cell>
        </row>
        <row r="1445">
          <cell r="A1445">
            <v>31656</v>
          </cell>
          <cell r="J1445">
            <v>15.69</v>
          </cell>
          <cell r="K1445">
            <v>15.3133</v>
          </cell>
        </row>
        <row r="1446">
          <cell r="A1446">
            <v>31657</v>
          </cell>
          <cell r="J1446">
            <v>15.16</v>
          </cell>
          <cell r="K1446">
            <v>15.1386</v>
          </cell>
        </row>
        <row r="1447">
          <cell r="A1447">
            <v>31658</v>
          </cell>
          <cell r="J1447">
            <v>15.51</v>
          </cell>
          <cell r="K1447">
            <v>15.6183</v>
          </cell>
        </row>
        <row r="1448">
          <cell r="A1448">
            <v>31659</v>
          </cell>
          <cell r="J1448">
            <v>15.86</v>
          </cell>
          <cell r="K1448">
            <v>16.243099999999998</v>
          </cell>
        </row>
        <row r="1449">
          <cell r="A1449">
            <v>31660</v>
          </cell>
          <cell r="J1449">
            <v>16.079999999999998</v>
          </cell>
          <cell r="K1449">
            <v>16.2104</v>
          </cell>
        </row>
        <row r="1450">
          <cell r="A1450">
            <v>31663</v>
          </cell>
          <cell r="J1450">
            <v>17.670000000000002</v>
          </cell>
          <cell r="K1450">
            <v>17.0383</v>
          </cell>
        </row>
        <row r="1451">
          <cell r="A1451">
            <v>31664</v>
          </cell>
          <cell r="J1451">
            <v>21.28</v>
          </cell>
          <cell r="K1451">
            <v>20.950199999999999</v>
          </cell>
        </row>
        <row r="1452">
          <cell r="A1452">
            <v>31665</v>
          </cell>
          <cell r="J1452">
            <v>20.54</v>
          </cell>
          <cell r="K1452">
            <v>20.1783</v>
          </cell>
        </row>
        <row r="1453">
          <cell r="A1453">
            <v>31666</v>
          </cell>
          <cell r="J1453">
            <v>19.54</v>
          </cell>
          <cell r="K1453">
            <v>19.5959</v>
          </cell>
        </row>
        <row r="1454">
          <cell r="A1454">
            <v>31667</v>
          </cell>
          <cell r="J1454">
            <v>25.73</v>
          </cell>
          <cell r="K1454">
            <v>24.904800000000002</v>
          </cell>
        </row>
        <row r="1455">
          <cell r="A1455">
            <v>31670</v>
          </cell>
          <cell r="J1455">
            <v>25.44</v>
          </cell>
          <cell r="K1455">
            <v>26.460999999999999</v>
          </cell>
        </row>
        <row r="1456">
          <cell r="A1456">
            <v>31671</v>
          </cell>
          <cell r="J1456">
            <v>23.76</v>
          </cell>
          <cell r="K1456">
            <v>24.7941</v>
          </cell>
        </row>
        <row r="1457">
          <cell r="A1457">
            <v>31672</v>
          </cell>
          <cell r="J1457">
            <v>30.27</v>
          </cell>
          <cell r="K1457">
            <v>27.875599999999999</v>
          </cell>
        </row>
        <row r="1458">
          <cell r="A1458">
            <v>31673</v>
          </cell>
          <cell r="J1458">
            <v>29.04</v>
          </cell>
          <cell r="K1458">
            <v>26.938600000000001</v>
          </cell>
        </row>
        <row r="1459">
          <cell r="A1459">
            <v>31674</v>
          </cell>
          <cell r="J1459">
            <v>26.67</v>
          </cell>
          <cell r="K1459">
            <v>24.9377</v>
          </cell>
        </row>
        <row r="1460">
          <cell r="A1460">
            <v>31677</v>
          </cell>
          <cell r="J1460">
            <v>28.1</v>
          </cell>
          <cell r="K1460">
            <v>24.156300000000002</v>
          </cell>
        </row>
        <row r="1461">
          <cell r="A1461">
            <v>31678</v>
          </cell>
          <cell r="J1461">
            <v>29.16</v>
          </cell>
          <cell r="K1461">
            <v>23.6585</v>
          </cell>
        </row>
        <row r="1462">
          <cell r="A1462">
            <v>31679</v>
          </cell>
          <cell r="J1462">
            <v>27.37</v>
          </cell>
          <cell r="K1462">
            <v>22.273</v>
          </cell>
        </row>
        <row r="1463">
          <cell r="A1463">
            <v>31680</v>
          </cell>
          <cell r="J1463">
            <v>25.36</v>
          </cell>
          <cell r="K1463">
            <v>21.082999999999998</v>
          </cell>
        </row>
        <row r="1464">
          <cell r="A1464">
            <v>31681</v>
          </cell>
          <cell r="J1464">
            <v>23.51</v>
          </cell>
          <cell r="K1464">
            <v>22.053799999999999</v>
          </cell>
        </row>
        <row r="1465">
          <cell r="A1465">
            <v>31684</v>
          </cell>
          <cell r="J1465">
            <v>22.07</v>
          </cell>
          <cell r="K1465">
            <v>21.5703</v>
          </cell>
        </row>
        <row r="1466">
          <cell r="A1466">
            <v>31685</v>
          </cell>
          <cell r="J1466">
            <v>20.64</v>
          </cell>
          <cell r="K1466">
            <v>21.826499999999999</v>
          </cell>
        </row>
        <row r="1467">
          <cell r="A1467">
            <v>31686</v>
          </cell>
          <cell r="J1467">
            <v>21.63</v>
          </cell>
          <cell r="K1467">
            <v>22.3916</v>
          </cell>
        </row>
        <row r="1468">
          <cell r="A1468">
            <v>31687</v>
          </cell>
          <cell r="J1468">
            <v>20.73</v>
          </cell>
          <cell r="K1468">
            <v>21.410599999999999</v>
          </cell>
        </row>
        <row r="1469">
          <cell r="A1469">
            <v>31688</v>
          </cell>
          <cell r="J1469">
            <v>20.18</v>
          </cell>
          <cell r="K1469">
            <v>20.4999</v>
          </cell>
        </row>
        <row r="1470">
          <cell r="A1470">
            <v>31691</v>
          </cell>
          <cell r="J1470">
            <v>18.989999999999998</v>
          </cell>
          <cell r="K1470">
            <v>19.466200000000001</v>
          </cell>
        </row>
        <row r="1471">
          <cell r="A1471">
            <v>31692</v>
          </cell>
          <cell r="J1471">
            <v>18.09</v>
          </cell>
          <cell r="K1471">
            <v>18.417999999999999</v>
          </cell>
        </row>
        <row r="1472">
          <cell r="A1472">
            <v>31693</v>
          </cell>
          <cell r="J1472">
            <v>17.79</v>
          </cell>
          <cell r="K1472">
            <v>17.773900000000001</v>
          </cell>
        </row>
        <row r="1473">
          <cell r="A1473">
            <v>31694</v>
          </cell>
          <cell r="J1473">
            <v>16.93</v>
          </cell>
          <cell r="K1473">
            <v>17.1553</v>
          </cell>
        </row>
        <row r="1474">
          <cell r="A1474">
            <v>31695</v>
          </cell>
          <cell r="J1474">
            <v>16.41</v>
          </cell>
          <cell r="K1474">
            <v>17.0899</v>
          </cell>
        </row>
        <row r="1475">
          <cell r="A1475">
            <v>31698</v>
          </cell>
          <cell r="J1475">
            <v>15.86</v>
          </cell>
          <cell r="K1475">
            <v>16.642299999999999</v>
          </cell>
        </row>
        <row r="1476">
          <cell r="A1476">
            <v>31699</v>
          </cell>
          <cell r="J1476">
            <v>15.43</v>
          </cell>
          <cell r="K1476">
            <v>16.845600000000001</v>
          </cell>
        </row>
        <row r="1477">
          <cell r="A1477">
            <v>31700</v>
          </cell>
          <cell r="J1477">
            <v>15.17</v>
          </cell>
          <cell r="K1477">
            <v>16.8278</v>
          </cell>
        </row>
        <row r="1478">
          <cell r="A1478">
            <v>31701</v>
          </cell>
          <cell r="J1478">
            <v>17.21</v>
          </cell>
          <cell r="K1478">
            <v>16.8232</v>
          </cell>
        </row>
        <row r="1479">
          <cell r="A1479">
            <v>31702</v>
          </cell>
          <cell r="J1479">
            <v>19.059999999999999</v>
          </cell>
          <cell r="K1479">
            <v>17.061199999999999</v>
          </cell>
        </row>
        <row r="1480">
          <cell r="A1480">
            <v>31705</v>
          </cell>
          <cell r="J1480">
            <v>19.63</v>
          </cell>
          <cell r="K1480">
            <v>17.455500000000001</v>
          </cell>
        </row>
        <row r="1481">
          <cell r="A1481">
            <v>31706</v>
          </cell>
          <cell r="J1481">
            <v>22.91</v>
          </cell>
          <cell r="K1481">
            <v>20.183800000000002</v>
          </cell>
        </row>
        <row r="1482">
          <cell r="A1482">
            <v>31707</v>
          </cell>
          <cell r="J1482">
            <v>21.6</v>
          </cell>
          <cell r="K1482">
            <v>19.005600000000001</v>
          </cell>
        </row>
        <row r="1483">
          <cell r="A1483">
            <v>31708</v>
          </cell>
          <cell r="J1483">
            <v>20.69</v>
          </cell>
          <cell r="K1483">
            <v>18.349499999999999</v>
          </cell>
        </row>
        <row r="1484">
          <cell r="A1484">
            <v>31709</v>
          </cell>
          <cell r="J1484">
            <v>19.649999999999999</v>
          </cell>
          <cell r="K1484">
            <v>18.439599999999999</v>
          </cell>
        </row>
        <row r="1485">
          <cell r="A1485">
            <v>31712</v>
          </cell>
          <cell r="J1485">
            <v>19.18</v>
          </cell>
          <cell r="K1485">
            <v>18.833500000000001</v>
          </cell>
        </row>
        <row r="1486">
          <cell r="A1486">
            <v>31713</v>
          </cell>
          <cell r="J1486">
            <v>18.86</v>
          </cell>
          <cell r="K1486">
            <v>18.2852</v>
          </cell>
        </row>
        <row r="1487">
          <cell r="A1487">
            <v>31714</v>
          </cell>
          <cell r="J1487">
            <v>17.920000000000002</v>
          </cell>
          <cell r="K1487">
            <v>17.538399999999999</v>
          </cell>
        </row>
        <row r="1488">
          <cell r="A1488">
            <v>31715</v>
          </cell>
          <cell r="J1488">
            <v>17.079999999999998</v>
          </cell>
          <cell r="K1488">
            <v>17.318899999999999</v>
          </cell>
        </row>
        <row r="1489">
          <cell r="A1489">
            <v>31716</v>
          </cell>
          <cell r="J1489">
            <v>16.5</v>
          </cell>
          <cell r="K1489">
            <v>16.817599999999999</v>
          </cell>
        </row>
        <row r="1490">
          <cell r="A1490">
            <v>31719</v>
          </cell>
          <cell r="J1490">
            <v>17.95</v>
          </cell>
          <cell r="K1490">
            <v>16.950199999999999</v>
          </cell>
        </row>
        <row r="1491">
          <cell r="A1491">
            <v>31720</v>
          </cell>
          <cell r="J1491">
            <v>17.670000000000002</v>
          </cell>
          <cell r="K1491">
            <v>16.717199999999998</v>
          </cell>
        </row>
        <row r="1492">
          <cell r="A1492">
            <v>31721</v>
          </cell>
          <cell r="J1492">
            <v>16.850000000000001</v>
          </cell>
          <cell r="K1492">
            <v>16.248100000000001</v>
          </cell>
        </row>
        <row r="1493">
          <cell r="A1493">
            <v>31722</v>
          </cell>
          <cell r="J1493">
            <v>19.09</v>
          </cell>
          <cell r="K1493">
            <v>16.707599999999999</v>
          </cell>
        </row>
        <row r="1494">
          <cell r="A1494">
            <v>31723</v>
          </cell>
          <cell r="J1494">
            <v>18.260000000000002</v>
          </cell>
          <cell r="K1494">
            <v>16.055199999999999</v>
          </cell>
        </row>
        <row r="1495">
          <cell r="A1495">
            <v>31726</v>
          </cell>
          <cell r="J1495">
            <v>17.71</v>
          </cell>
          <cell r="K1495">
            <v>15.833600000000001</v>
          </cell>
        </row>
        <row r="1496">
          <cell r="A1496">
            <v>31727</v>
          </cell>
          <cell r="J1496">
            <v>17.38</v>
          </cell>
          <cell r="K1496">
            <v>15.434900000000001</v>
          </cell>
        </row>
        <row r="1497">
          <cell r="A1497">
            <v>31728</v>
          </cell>
          <cell r="J1497">
            <v>16.57</v>
          </cell>
          <cell r="K1497">
            <v>14.919499999999999</v>
          </cell>
        </row>
        <row r="1498">
          <cell r="A1498">
            <v>31729</v>
          </cell>
          <cell r="J1498">
            <v>15.91</v>
          </cell>
          <cell r="K1498">
            <v>14.7134</v>
          </cell>
        </row>
        <row r="1499">
          <cell r="A1499">
            <v>31730</v>
          </cell>
          <cell r="J1499">
            <v>15.35</v>
          </cell>
          <cell r="K1499">
            <v>15.4657</v>
          </cell>
        </row>
        <row r="1500">
          <cell r="A1500">
            <v>31733</v>
          </cell>
          <cell r="J1500">
            <v>14.88</v>
          </cell>
          <cell r="K1500">
            <v>14.843500000000001</v>
          </cell>
        </row>
        <row r="1501">
          <cell r="A1501">
            <v>31734</v>
          </cell>
          <cell r="J1501">
            <v>14.48</v>
          </cell>
          <cell r="K1501">
            <v>15.3507</v>
          </cell>
        </row>
        <row r="1502">
          <cell r="A1502">
            <v>31735</v>
          </cell>
          <cell r="J1502">
            <v>14.39</v>
          </cell>
          <cell r="K1502">
            <v>15.6921</v>
          </cell>
        </row>
        <row r="1503">
          <cell r="A1503">
            <v>31736</v>
          </cell>
          <cell r="J1503">
            <v>14.12</v>
          </cell>
          <cell r="K1503">
            <v>15.8286</v>
          </cell>
        </row>
        <row r="1504">
          <cell r="A1504">
            <v>31737</v>
          </cell>
          <cell r="J1504">
            <v>14.36</v>
          </cell>
          <cell r="K1504">
            <v>15.478</v>
          </cell>
        </row>
        <row r="1505">
          <cell r="A1505">
            <v>31740</v>
          </cell>
          <cell r="J1505">
            <v>14.83</v>
          </cell>
          <cell r="K1505">
            <v>15.545500000000001</v>
          </cell>
        </row>
        <row r="1506">
          <cell r="A1506">
            <v>31741</v>
          </cell>
          <cell r="J1506">
            <v>14.69</v>
          </cell>
          <cell r="K1506">
            <v>15.281499999999999</v>
          </cell>
        </row>
        <row r="1507">
          <cell r="A1507">
            <v>31742</v>
          </cell>
          <cell r="J1507">
            <v>14.86</v>
          </cell>
          <cell r="K1507">
            <v>15.5116</v>
          </cell>
        </row>
        <row r="1508">
          <cell r="A1508">
            <v>31743</v>
          </cell>
          <cell r="J1508">
            <v>14.77</v>
          </cell>
          <cell r="K1508">
            <v>15.407299999999999</v>
          </cell>
        </row>
        <row r="1509">
          <cell r="A1509">
            <v>31744</v>
          </cell>
          <cell r="J1509">
            <v>14.43</v>
          </cell>
          <cell r="K1509">
            <v>15.0505</v>
          </cell>
        </row>
        <row r="1510">
          <cell r="A1510">
            <v>31747</v>
          </cell>
          <cell r="J1510">
            <v>14.43</v>
          </cell>
          <cell r="K1510">
            <v>14.658099999999999</v>
          </cell>
        </row>
        <row r="1511">
          <cell r="A1511">
            <v>31748</v>
          </cell>
          <cell r="J1511">
            <v>16.34</v>
          </cell>
          <cell r="K1511">
            <v>15.2074</v>
          </cell>
        </row>
        <row r="1512">
          <cell r="A1512">
            <v>31749</v>
          </cell>
          <cell r="J1512">
            <v>16.55</v>
          </cell>
          <cell r="K1512">
            <v>15.011100000000001</v>
          </cell>
        </row>
        <row r="1513">
          <cell r="A1513">
            <v>31750</v>
          </cell>
          <cell r="J1513">
            <v>16.55</v>
          </cell>
          <cell r="K1513">
            <v>14.693300000000001</v>
          </cell>
        </row>
        <row r="1514">
          <cell r="A1514">
            <v>31751</v>
          </cell>
          <cell r="J1514">
            <v>16.73</v>
          </cell>
          <cell r="K1514">
            <v>15.3203</v>
          </cell>
        </row>
        <row r="1515">
          <cell r="A1515">
            <v>31754</v>
          </cell>
          <cell r="J1515">
            <v>17.41</v>
          </cell>
          <cell r="K1515">
            <v>16.081299999999999</v>
          </cell>
        </row>
        <row r="1516">
          <cell r="A1516">
            <v>31755</v>
          </cell>
          <cell r="J1516">
            <v>21.21</v>
          </cell>
          <cell r="K1516">
            <v>17.5261</v>
          </cell>
        </row>
        <row r="1517">
          <cell r="A1517">
            <v>31756</v>
          </cell>
          <cell r="J1517">
            <v>20.03</v>
          </cell>
          <cell r="K1517">
            <v>17.299900000000001</v>
          </cell>
        </row>
        <row r="1518">
          <cell r="A1518">
            <v>31757</v>
          </cell>
          <cell r="J1518">
            <v>19.170000000000002</v>
          </cell>
          <cell r="K1518">
            <v>16.709</v>
          </cell>
        </row>
        <row r="1519">
          <cell r="A1519">
            <v>31758</v>
          </cell>
          <cell r="J1519">
            <v>18.09</v>
          </cell>
          <cell r="K1519">
            <v>16.1008</v>
          </cell>
        </row>
        <row r="1520">
          <cell r="A1520">
            <v>31761</v>
          </cell>
          <cell r="J1520">
            <v>17.55</v>
          </cell>
          <cell r="K1520">
            <v>16.431999999999999</v>
          </cell>
        </row>
        <row r="1521">
          <cell r="A1521">
            <v>31762</v>
          </cell>
          <cell r="J1521">
            <v>17.22</v>
          </cell>
          <cell r="K1521">
            <v>16.200299999999999</v>
          </cell>
        </row>
        <row r="1522">
          <cell r="A1522">
            <v>31763</v>
          </cell>
          <cell r="J1522">
            <v>19.600000000000001</v>
          </cell>
          <cell r="K1522">
            <v>17.2989</v>
          </cell>
        </row>
        <row r="1523">
          <cell r="A1523">
            <v>31764</v>
          </cell>
          <cell r="J1523">
            <v>18.64</v>
          </cell>
          <cell r="K1523">
            <v>16.811800000000002</v>
          </cell>
        </row>
        <row r="1524">
          <cell r="A1524">
            <v>31765</v>
          </cell>
          <cell r="J1524">
            <v>17.670000000000002</v>
          </cell>
          <cell r="K1524">
            <v>16.714400000000001</v>
          </cell>
        </row>
        <row r="1525">
          <cell r="A1525">
            <v>31768</v>
          </cell>
          <cell r="J1525">
            <v>16.809999999999999</v>
          </cell>
          <cell r="K1525">
            <v>16.212900000000001</v>
          </cell>
        </row>
        <row r="1526">
          <cell r="A1526">
            <v>31769</v>
          </cell>
          <cell r="J1526">
            <v>16.829999999999998</v>
          </cell>
          <cell r="K1526">
            <v>16.3583</v>
          </cell>
        </row>
        <row r="1527">
          <cell r="A1527">
            <v>31770</v>
          </cell>
          <cell r="J1527">
            <v>16.190000000000001</v>
          </cell>
          <cell r="K1527">
            <v>15.8626</v>
          </cell>
        </row>
        <row r="1528">
          <cell r="A1528">
            <v>31771</v>
          </cell>
          <cell r="J1528">
            <v>16.59</v>
          </cell>
          <cell r="K1528">
            <v>15.5974</v>
          </cell>
        </row>
        <row r="1529">
          <cell r="A1529">
            <v>31772</v>
          </cell>
          <cell r="J1529">
            <v>15.93</v>
          </cell>
          <cell r="K1529">
            <v>15.132899999999999</v>
          </cell>
        </row>
        <row r="1530">
          <cell r="A1530">
            <v>31775</v>
          </cell>
          <cell r="J1530">
            <v>15.43</v>
          </cell>
          <cell r="K1530">
            <v>14.7879</v>
          </cell>
        </row>
        <row r="1531">
          <cell r="A1531">
            <v>31776</v>
          </cell>
          <cell r="J1531">
            <v>15.04</v>
          </cell>
          <cell r="K1531">
            <v>14.8728</v>
          </cell>
        </row>
        <row r="1532">
          <cell r="A1532">
            <v>31777</v>
          </cell>
          <cell r="J1532">
            <v>19.5</v>
          </cell>
          <cell r="K1532">
            <v>16.589300000000001</v>
          </cell>
        </row>
        <row r="1533">
          <cell r="A1533">
            <v>31778</v>
          </cell>
          <cell r="J1533">
            <v>18.37</v>
          </cell>
          <cell r="K1533">
            <v>15.9124</v>
          </cell>
        </row>
        <row r="1534">
          <cell r="A1534">
            <v>31779</v>
          </cell>
          <cell r="J1534">
            <v>17.489999999999998</v>
          </cell>
          <cell r="K1534">
            <v>15.3889</v>
          </cell>
        </row>
        <row r="1535">
          <cell r="A1535">
            <v>31782</v>
          </cell>
          <cell r="J1535">
            <v>17.760000000000002</v>
          </cell>
          <cell r="K1535">
            <v>15.4339</v>
          </cell>
        </row>
        <row r="1536">
          <cell r="A1536">
            <v>31783</v>
          </cell>
          <cell r="J1536">
            <v>17.02</v>
          </cell>
          <cell r="K1536">
            <v>15.6014</v>
          </cell>
        </row>
        <row r="1537">
          <cell r="A1537">
            <v>31784</v>
          </cell>
          <cell r="J1537">
            <v>20.59</v>
          </cell>
          <cell r="K1537">
            <v>16.410499999999999</v>
          </cell>
        </row>
        <row r="1538">
          <cell r="A1538">
            <v>31785</v>
          </cell>
          <cell r="J1538">
            <v>19.61</v>
          </cell>
          <cell r="K1538">
            <v>16.187899999999999</v>
          </cell>
        </row>
        <row r="1539">
          <cell r="A1539">
            <v>31786</v>
          </cell>
          <cell r="J1539">
            <v>18.47</v>
          </cell>
          <cell r="K1539">
            <v>17.211400000000001</v>
          </cell>
        </row>
        <row r="1540">
          <cell r="A1540">
            <v>31789</v>
          </cell>
          <cell r="J1540">
            <v>17.54</v>
          </cell>
          <cell r="K1540">
            <v>20.512899999999998</v>
          </cell>
        </row>
        <row r="1541">
          <cell r="A1541">
            <v>31790</v>
          </cell>
          <cell r="J1541">
            <v>21.44</v>
          </cell>
          <cell r="K1541">
            <v>20.654499999999999</v>
          </cell>
        </row>
        <row r="1542">
          <cell r="A1542">
            <v>31791</v>
          </cell>
          <cell r="J1542">
            <v>20.05</v>
          </cell>
          <cell r="K1542">
            <v>19.6571</v>
          </cell>
        </row>
        <row r="1543">
          <cell r="A1543">
            <v>31792</v>
          </cell>
          <cell r="J1543">
            <v>21.61</v>
          </cell>
          <cell r="K1543">
            <v>19.7469</v>
          </cell>
        </row>
        <row r="1544">
          <cell r="A1544">
            <v>31793</v>
          </cell>
          <cell r="J1544">
            <v>20.53</v>
          </cell>
          <cell r="K1544">
            <v>19.2072</v>
          </cell>
        </row>
        <row r="1545">
          <cell r="A1545">
            <v>31796</v>
          </cell>
          <cell r="J1545">
            <v>19.38</v>
          </cell>
          <cell r="K1545">
            <v>18.311399999999999</v>
          </cell>
        </row>
        <row r="1546">
          <cell r="A1546">
            <v>31797</v>
          </cell>
          <cell r="J1546">
            <v>19.02</v>
          </cell>
          <cell r="K1546">
            <v>17.875499999999999</v>
          </cell>
        </row>
        <row r="1547">
          <cell r="A1547">
            <v>31798</v>
          </cell>
          <cell r="J1547">
            <v>20.75</v>
          </cell>
          <cell r="K1547">
            <v>19.001899999999999</v>
          </cell>
        </row>
        <row r="1548">
          <cell r="A1548">
            <v>31799</v>
          </cell>
          <cell r="J1548">
            <v>19.5</v>
          </cell>
          <cell r="K1548">
            <v>20.365300000000001</v>
          </cell>
        </row>
        <row r="1549">
          <cell r="A1549">
            <v>31800</v>
          </cell>
          <cell r="J1549">
            <v>21.38</v>
          </cell>
          <cell r="K1549">
            <v>22.561199999999999</v>
          </cell>
        </row>
        <row r="1550">
          <cell r="A1550">
            <v>31803</v>
          </cell>
          <cell r="J1550">
            <v>21.09</v>
          </cell>
          <cell r="K1550">
            <v>21.346699999999998</v>
          </cell>
        </row>
        <row r="1551">
          <cell r="A1551">
            <v>31804</v>
          </cell>
          <cell r="J1551">
            <v>19.91</v>
          </cell>
          <cell r="K1551">
            <v>22.994399999999999</v>
          </cell>
        </row>
        <row r="1552">
          <cell r="A1552">
            <v>31805</v>
          </cell>
          <cell r="J1552">
            <v>18.850000000000001</v>
          </cell>
          <cell r="K1552">
            <v>21.9162</v>
          </cell>
        </row>
        <row r="1553">
          <cell r="A1553">
            <v>31806</v>
          </cell>
          <cell r="J1553">
            <v>18.309999999999999</v>
          </cell>
          <cell r="K1553">
            <v>24.545100000000001</v>
          </cell>
        </row>
        <row r="1554">
          <cell r="A1554">
            <v>31807</v>
          </cell>
          <cell r="J1554">
            <v>22.66</v>
          </cell>
          <cell r="K1554">
            <v>26.105899999999998</v>
          </cell>
        </row>
        <row r="1555">
          <cell r="A1555">
            <v>31810</v>
          </cell>
          <cell r="J1555">
            <v>22.21</v>
          </cell>
          <cell r="K1555">
            <v>25.753799999999998</v>
          </cell>
        </row>
        <row r="1556">
          <cell r="A1556">
            <v>31811</v>
          </cell>
          <cell r="J1556">
            <v>21.65</v>
          </cell>
          <cell r="K1556">
            <v>24.773599999999998</v>
          </cell>
        </row>
        <row r="1557">
          <cell r="A1557">
            <v>31812</v>
          </cell>
          <cell r="J1557">
            <v>20.309999999999999</v>
          </cell>
          <cell r="K1557">
            <v>23.737400000000001</v>
          </cell>
        </row>
        <row r="1558">
          <cell r="A1558">
            <v>31813</v>
          </cell>
          <cell r="J1558">
            <v>26.84</v>
          </cell>
          <cell r="K1558">
            <v>24.916399999999999</v>
          </cell>
        </row>
        <row r="1559">
          <cell r="A1559">
            <v>31814</v>
          </cell>
          <cell r="J1559">
            <v>24.81</v>
          </cell>
          <cell r="K1559">
            <v>24.769300000000001</v>
          </cell>
        </row>
        <row r="1560">
          <cell r="A1560">
            <v>31817</v>
          </cell>
          <cell r="J1560">
            <v>23.55</v>
          </cell>
          <cell r="K1560">
            <v>23.7944</v>
          </cell>
        </row>
        <row r="1561">
          <cell r="A1561">
            <v>31818</v>
          </cell>
          <cell r="J1561">
            <v>22.97</v>
          </cell>
          <cell r="K1561">
            <v>22.729600000000001</v>
          </cell>
        </row>
        <row r="1562">
          <cell r="A1562">
            <v>31819</v>
          </cell>
          <cell r="J1562">
            <v>21.47</v>
          </cell>
          <cell r="K1562">
            <v>21.526299999999999</v>
          </cell>
        </row>
        <row r="1563">
          <cell r="A1563">
            <v>31820</v>
          </cell>
          <cell r="J1563">
            <v>21.35</v>
          </cell>
          <cell r="K1563">
            <v>20.710599999999999</v>
          </cell>
        </row>
        <row r="1564">
          <cell r="A1564">
            <v>31821</v>
          </cell>
          <cell r="J1564">
            <v>20.07</v>
          </cell>
          <cell r="K1564">
            <v>20.082899999999999</v>
          </cell>
        </row>
        <row r="1565">
          <cell r="A1565">
            <v>31824</v>
          </cell>
          <cell r="J1565">
            <v>19.41</v>
          </cell>
          <cell r="K1565">
            <v>19.616</v>
          </cell>
        </row>
        <row r="1566">
          <cell r="A1566">
            <v>31825</v>
          </cell>
          <cell r="J1566">
            <v>18.850000000000001</v>
          </cell>
          <cell r="K1566">
            <v>19.017499999999998</v>
          </cell>
        </row>
        <row r="1567">
          <cell r="A1567">
            <v>31826</v>
          </cell>
          <cell r="J1567">
            <v>18.04</v>
          </cell>
          <cell r="K1567">
            <v>18.9574</v>
          </cell>
        </row>
        <row r="1568">
          <cell r="A1568">
            <v>31827</v>
          </cell>
          <cell r="J1568">
            <v>22.75</v>
          </cell>
          <cell r="K1568">
            <v>20.120899999999999</v>
          </cell>
        </row>
        <row r="1569">
          <cell r="A1569">
            <v>31828</v>
          </cell>
          <cell r="J1569">
            <v>21.4</v>
          </cell>
          <cell r="K1569">
            <v>20.680499999999999</v>
          </cell>
        </row>
        <row r="1570">
          <cell r="A1570">
            <v>31831</v>
          </cell>
          <cell r="J1570">
            <v>21.31</v>
          </cell>
          <cell r="K1570">
            <v>20.478899999999999</v>
          </cell>
        </row>
        <row r="1571">
          <cell r="A1571">
            <v>31832</v>
          </cell>
          <cell r="J1571">
            <v>19.93</v>
          </cell>
          <cell r="K1571">
            <v>21.012</v>
          </cell>
        </row>
        <row r="1572">
          <cell r="A1572">
            <v>31833</v>
          </cell>
          <cell r="J1572">
            <v>18.809999999999999</v>
          </cell>
          <cell r="K1572">
            <v>20.5</v>
          </cell>
        </row>
        <row r="1573">
          <cell r="A1573">
            <v>31834</v>
          </cell>
          <cell r="J1573">
            <v>17.989999999999998</v>
          </cell>
          <cell r="K1573">
            <v>19.505800000000001</v>
          </cell>
        </row>
        <row r="1574">
          <cell r="A1574">
            <v>31835</v>
          </cell>
          <cell r="J1574">
            <v>17.149999999999999</v>
          </cell>
          <cell r="K1574">
            <v>18.448499999999999</v>
          </cell>
        </row>
        <row r="1575">
          <cell r="A1575">
            <v>31838</v>
          </cell>
          <cell r="J1575">
            <v>17.05</v>
          </cell>
          <cell r="K1575">
            <v>18.5487</v>
          </cell>
        </row>
        <row r="1576">
          <cell r="A1576">
            <v>31839</v>
          </cell>
          <cell r="J1576">
            <v>17.72</v>
          </cell>
          <cell r="K1576">
            <v>18.217500000000001</v>
          </cell>
        </row>
        <row r="1577">
          <cell r="A1577">
            <v>31840</v>
          </cell>
          <cell r="J1577">
            <v>16.86</v>
          </cell>
          <cell r="K1577">
            <v>17.561599999999999</v>
          </cell>
        </row>
        <row r="1578">
          <cell r="A1578">
            <v>31841</v>
          </cell>
          <cell r="J1578">
            <v>16.850000000000001</v>
          </cell>
          <cell r="K1578">
            <v>17.8965</v>
          </cell>
        </row>
        <row r="1579">
          <cell r="A1579">
            <v>31842</v>
          </cell>
          <cell r="J1579">
            <v>16.34</v>
          </cell>
          <cell r="K1579">
            <v>17.2224</v>
          </cell>
        </row>
        <row r="1580">
          <cell r="A1580">
            <v>31845</v>
          </cell>
          <cell r="J1580">
            <v>15.72</v>
          </cell>
          <cell r="K1580">
            <v>16.4316</v>
          </cell>
        </row>
        <row r="1581">
          <cell r="A1581">
            <v>31846</v>
          </cell>
          <cell r="J1581">
            <v>15.9</v>
          </cell>
          <cell r="K1581">
            <v>16.851700000000001</v>
          </cell>
        </row>
        <row r="1582">
          <cell r="A1582">
            <v>31847</v>
          </cell>
          <cell r="J1582">
            <v>18.12</v>
          </cell>
          <cell r="K1582">
            <v>16.961300000000001</v>
          </cell>
        </row>
        <row r="1583">
          <cell r="A1583">
            <v>31848</v>
          </cell>
          <cell r="J1583">
            <v>17.34</v>
          </cell>
          <cell r="K1583">
            <v>17.629200000000001</v>
          </cell>
        </row>
        <row r="1584">
          <cell r="A1584">
            <v>31849</v>
          </cell>
          <cell r="J1584">
            <v>16.55</v>
          </cell>
          <cell r="K1584">
            <v>16.938800000000001</v>
          </cell>
        </row>
        <row r="1585">
          <cell r="A1585">
            <v>31852</v>
          </cell>
          <cell r="J1585">
            <v>15.91</v>
          </cell>
          <cell r="K1585">
            <v>16.3339</v>
          </cell>
        </row>
        <row r="1586">
          <cell r="A1586">
            <v>31853</v>
          </cell>
          <cell r="J1586">
            <v>15.39</v>
          </cell>
          <cell r="K1586">
            <v>15.954800000000001</v>
          </cell>
        </row>
        <row r="1587">
          <cell r="A1587">
            <v>31854</v>
          </cell>
          <cell r="J1587">
            <v>14.93</v>
          </cell>
          <cell r="K1587">
            <v>15.891299999999999</v>
          </cell>
        </row>
        <row r="1588">
          <cell r="A1588">
            <v>31855</v>
          </cell>
          <cell r="J1588">
            <v>14.76</v>
          </cell>
          <cell r="K1588">
            <v>15.8566</v>
          </cell>
        </row>
        <row r="1589">
          <cell r="A1589">
            <v>31856</v>
          </cell>
          <cell r="J1589">
            <v>14.41</v>
          </cell>
          <cell r="K1589">
            <v>18.409199999999998</v>
          </cell>
        </row>
        <row r="1590">
          <cell r="A1590">
            <v>31859</v>
          </cell>
          <cell r="J1590">
            <v>14.12</v>
          </cell>
          <cell r="K1590">
            <v>17.733899999999998</v>
          </cell>
        </row>
        <row r="1591">
          <cell r="A1591">
            <v>31860</v>
          </cell>
          <cell r="J1591">
            <v>15.09</v>
          </cell>
          <cell r="K1591">
            <v>19.445699999999999</v>
          </cell>
        </row>
        <row r="1592">
          <cell r="A1592">
            <v>31861</v>
          </cell>
          <cell r="J1592">
            <v>17.89</v>
          </cell>
          <cell r="K1592">
            <v>19.0655</v>
          </cell>
        </row>
        <row r="1593">
          <cell r="A1593">
            <v>31862</v>
          </cell>
          <cell r="J1593">
            <v>17.18</v>
          </cell>
          <cell r="K1593">
            <v>18.9678</v>
          </cell>
        </row>
        <row r="1594">
          <cell r="A1594">
            <v>31863</v>
          </cell>
          <cell r="J1594">
            <v>16.489999999999998</v>
          </cell>
          <cell r="K1594">
            <v>19.282800000000002</v>
          </cell>
        </row>
        <row r="1595">
          <cell r="A1595">
            <v>31866</v>
          </cell>
          <cell r="J1595">
            <v>15.89</v>
          </cell>
          <cell r="K1595">
            <v>19.3187</v>
          </cell>
        </row>
        <row r="1596">
          <cell r="A1596">
            <v>31867</v>
          </cell>
          <cell r="J1596">
            <v>15.68</v>
          </cell>
          <cell r="K1596">
            <v>20.1371</v>
          </cell>
        </row>
        <row r="1597">
          <cell r="A1597">
            <v>31868</v>
          </cell>
          <cell r="J1597">
            <v>16.190000000000001</v>
          </cell>
          <cell r="K1597">
            <v>19.5182</v>
          </cell>
        </row>
        <row r="1598">
          <cell r="A1598">
            <v>31869</v>
          </cell>
          <cell r="J1598">
            <v>16.18</v>
          </cell>
          <cell r="K1598">
            <v>20.010400000000001</v>
          </cell>
        </row>
        <row r="1599">
          <cell r="A1599">
            <v>31870</v>
          </cell>
          <cell r="J1599">
            <v>15.75</v>
          </cell>
          <cell r="K1599">
            <v>19.2288</v>
          </cell>
        </row>
        <row r="1600">
          <cell r="A1600">
            <v>31873</v>
          </cell>
          <cell r="J1600">
            <v>17.29</v>
          </cell>
          <cell r="K1600">
            <v>18.9785</v>
          </cell>
        </row>
        <row r="1601">
          <cell r="A1601">
            <v>31874</v>
          </cell>
          <cell r="J1601">
            <v>16.920000000000002</v>
          </cell>
          <cell r="K1601">
            <v>19.641999999999999</v>
          </cell>
        </row>
        <row r="1602">
          <cell r="A1602">
            <v>31875</v>
          </cell>
          <cell r="J1602">
            <v>18.649999999999999</v>
          </cell>
          <cell r="K1602">
            <v>19.853000000000002</v>
          </cell>
        </row>
        <row r="1603">
          <cell r="A1603">
            <v>31876</v>
          </cell>
          <cell r="J1603">
            <v>19.07</v>
          </cell>
          <cell r="K1603">
            <v>19.672699999999999</v>
          </cell>
        </row>
        <row r="1604">
          <cell r="A1604">
            <v>31877</v>
          </cell>
          <cell r="J1604">
            <v>18.32</v>
          </cell>
          <cell r="K1604">
            <v>19.216000000000001</v>
          </cell>
        </row>
        <row r="1605">
          <cell r="A1605">
            <v>31880</v>
          </cell>
          <cell r="J1605">
            <v>17.38</v>
          </cell>
          <cell r="K1605">
            <v>20.131499999999999</v>
          </cell>
        </row>
        <row r="1606">
          <cell r="A1606">
            <v>31881</v>
          </cell>
          <cell r="J1606">
            <v>17.36</v>
          </cell>
          <cell r="K1606">
            <v>21.709099999999999</v>
          </cell>
        </row>
        <row r="1607">
          <cell r="A1607">
            <v>31882</v>
          </cell>
          <cell r="J1607">
            <v>16.78</v>
          </cell>
          <cell r="K1607">
            <v>21.167300000000001</v>
          </cell>
        </row>
        <row r="1608">
          <cell r="A1608">
            <v>31883</v>
          </cell>
          <cell r="J1608">
            <v>16.079999999999998</v>
          </cell>
          <cell r="K1608">
            <v>20.482700000000001</v>
          </cell>
        </row>
        <row r="1609">
          <cell r="A1609">
            <v>31884</v>
          </cell>
          <cell r="J1609">
            <v>15.48</v>
          </cell>
          <cell r="K1609">
            <v>19.404900000000001</v>
          </cell>
        </row>
        <row r="1610">
          <cell r="A1610">
            <v>31887</v>
          </cell>
          <cell r="J1610">
            <v>15.07</v>
          </cell>
          <cell r="K1610">
            <v>18.491900000000001</v>
          </cell>
        </row>
        <row r="1611">
          <cell r="A1611">
            <v>31888</v>
          </cell>
          <cell r="J1611">
            <v>14.72</v>
          </cell>
          <cell r="K1611">
            <v>17.646699999999999</v>
          </cell>
        </row>
        <row r="1612">
          <cell r="A1612">
            <v>31889</v>
          </cell>
          <cell r="J1612">
            <v>14.36</v>
          </cell>
          <cell r="K1612">
            <v>16.979099999999999</v>
          </cell>
        </row>
        <row r="1613">
          <cell r="A1613">
            <v>31890</v>
          </cell>
          <cell r="J1613">
            <v>14.15</v>
          </cell>
          <cell r="K1613">
            <v>16.7681</v>
          </cell>
        </row>
        <row r="1614">
          <cell r="A1614">
            <v>31891</v>
          </cell>
          <cell r="J1614">
            <v>13.96</v>
          </cell>
          <cell r="K1614">
            <v>16.859000000000002</v>
          </cell>
        </row>
        <row r="1615">
          <cell r="A1615">
            <v>31894</v>
          </cell>
          <cell r="J1615">
            <v>15.11</v>
          </cell>
          <cell r="K1615">
            <v>17.656700000000001</v>
          </cell>
        </row>
        <row r="1616">
          <cell r="A1616">
            <v>31895</v>
          </cell>
          <cell r="J1616">
            <v>16.010000000000002</v>
          </cell>
          <cell r="K1616">
            <v>19.385400000000001</v>
          </cell>
        </row>
        <row r="1617">
          <cell r="A1617">
            <v>31896</v>
          </cell>
          <cell r="J1617">
            <v>16.39</v>
          </cell>
          <cell r="K1617">
            <v>19.059699999999999</v>
          </cell>
        </row>
        <row r="1618">
          <cell r="A1618">
            <v>31897</v>
          </cell>
          <cell r="J1618">
            <v>15.87</v>
          </cell>
          <cell r="K1618">
            <v>18.151399999999999</v>
          </cell>
        </row>
        <row r="1619">
          <cell r="A1619">
            <v>31898</v>
          </cell>
          <cell r="J1619">
            <v>15.36</v>
          </cell>
          <cell r="K1619">
            <v>17.300599999999999</v>
          </cell>
        </row>
        <row r="1620">
          <cell r="A1620">
            <v>31901</v>
          </cell>
          <cell r="J1620">
            <v>15.15</v>
          </cell>
          <cell r="K1620">
            <v>16.799299999999999</v>
          </cell>
        </row>
        <row r="1621">
          <cell r="A1621">
            <v>31902</v>
          </cell>
          <cell r="J1621">
            <v>15.5</v>
          </cell>
          <cell r="K1621">
            <v>16.3842</v>
          </cell>
        </row>
        <row r="1622">
          <cell r="A1622">
            <v>31903</v>
          </cell>
          <cell r="J1622">
            <v>15.49</v>
          </cell>
          <cell r="K1622">
            <v>16.546800000000001</v>
          </cell>
        </row>
        <row r="1623">
          <cell r="A1623">
            <v>31904</v>
          </cell>
          <cell r="J1623">
            <v>14.99</v>
          </cell>
          <cell r="K1623">
            <v>16.386299999999999</v>
          </cell>
        </row>
        <row r="1624">
          <cell r="A1624">
            <v>31905</v>
          </cell>
          <cell r="J1624">
            <v>14.89</v>
          </cell>
          <cell r="K1624">
            <v>16.024799999999999</v>
          </cell>
        </row>
        <row r="1625">
          <cell r="A1625">
            <v>31908</v>
          </cell>
          <cell r="J1625">
            <v>15.47</v>
          </cell>
          <cell r="K1625">
            <v>16.4481</v>
          </cell>
        </row>
        <row r="1626">
          <cell r="A1626">
            <v>31909</v>
          </cell>
          <cell r="J1626">
            <v>15.01</v>
          </cell>
          <cell r="K1626">
            <v>16.148099999999999</v>
          </cell>
        </row>
        <row r="1627">
          <cell r="A1627">
            <v>31910</v>
          </cell>
          <cell r="J1627">
            <v>14.83</v>
          </cell>
          <cell r="K1627">
            <v>15.908300000000001</v>
          </cell>
        </row>
        <row r="1628">
          <cell r="A1628">
            <v>31911</v>
          </cell>
          <cell r="J1628">
            <v>15.81</v>
          </cell>
          <cell r="K1628">
            <v>15.7944</v>
          </cell>
        </row>
        <row r="1629">
          <cell r="A1629">
            <v>31912</v>
          </cell>
          <cell r="J1629">
            <v>15.47</v>
          </cell>
          <cell r="K1629">
            <v>15.76</v>
          </cell>
        </row>
        <row r="1630">
          <cell r="A1630">
            <v>31915</v>
          </cell>
          <cell r="J1630">
            <v>24.46</v>
          </cell>
          <cell r="K1630">
            <v>19.773299999999999</v>
          </cell>
        </row>
        <row r="1631">
          <cell r="A1631">
            <v>31916</v>
          </cell>
          <cell r="J1631">
            <v>22.83</v>
          </cell>
          <cell r="K1631">
            <v>18.954599999999999</v>
          </cell>
        </row>
        <row r="1632">
          <cell r="A1632">
            <v>31917</v>
          </cell>
          <cell r="J1632">
            <v>21.91</v>
          </cell>
          <cell r="K1632">
            <v>19.157800000000002</v>
          </cell>
        </row>
        <row r="1633">
          <cell r="A1633">
            <v>31918</v>
          </cell>
          <cell r="J1633">
            <v>25.34</v>
          </cell>
          <cell r="K1633">
            <v>21.785299999999999</v>
          </cell>
        </row>
        <row r="1634">
          <cell r="A1634">
            <v>31919</v>
          </cell>
          <cell r="J1634">
            <v>25.24</v>
          </cell>
          <cell r="K1634">
            <v>21.721</v>
          </cell>
        </row>
        <row r="1635">
          <cell r="A1635">
            <v>31922</v>
          </cell>
          <cell r="J1635">
            <v>23.52</v>
          </cell>
          <cell r="K1635">
            <v>20.7821</v>
          </cell>
        </row>
        <row r="1636">
          <cell r="A1636">
            <v>31923</v>
          </cell>
          <cell r="J1636">
            <v>21.96</v>
          </cell>
          <cell r="K1636">
            <v>19.797999999999998</v>
          </cell>
        </row>
        <row r="1637">
          <cell r="A1637">
            <v>31924</v>
          </cell>
          <cell r="J1637">
            <v>20.52</v>
          </cell>
          <cell r="K1637">
            <v>20.014299999999999</v>
          </cell>
        </row>
        <row r="1638">
          <cell r="A1638">
            <v>31925</v>
          </cell>
          <cell r="J1638">
            <v>19.59</v>
          </cell>
          <cell r="K1638">
            <v>20.333600000000001</v>
          </cell>
        </row>
        <row r="1639">
          <cell r="A1639">
            <v>31926</v>
          </cell>
          <cell r="J1639">
            <v>18.52</v>
          </cell>
          <cell r="K1639">
            <v>19.2654</v>
          </cell>
        </row>
        <row r="1640">
          <cell r="A1640">
            <v>31929</v>
          </cell>
          <cell r="J1640">
            <v>17.850000000000001</v>
          </cell>
          <cell r="K1640">
            <v>18.725100000000001</v>
          </cell>
        </row>
        <row r="1641">
          <cell r="A1641">
            <v>31930</v>
          </cell>
          <cell r="J1641">
            <v>18.88</v>
          </cell>
          <cell r="K1641">
            <v>18.995699999999999</v>
          </cell>
        </row>
        <row r="1642">
          <cell r="A1642">
            <v>31931</v>
          </cell>
          <cell r="J1642">
            <v>17.899999999999999</v>
          </cell>
          <cell r="K1642">
            <v>18.112400000000001</v>
          </cell>
        </row>
        <row r="1643">
          <cell r="A1643">
            <v>31932</v>
          </cell>
          <cell r="J1643">
            <v>21.41</v>
          </cell>
          <cell r="K1643">
            <v>18.756699999999999</v>
          </cell>
        </row>
        <row r="1644">
          <cell r="A1644">
            <v>31933</v>
          </cell>
          <cell r="J1644">
            <v>20.07</v>
          </cell>
          <cell r="K1644">
            <v>18.348400000000002</v>
          </cell>
        </row>
        <row r="1645">
          <cell r="A1645">
            <v>31936</v>
          </cell>
          <cell r="J1645">
            <v>19.71</v>
          </cell>
          <cell r="K1645">
            <v>17.995100000000001</v>
          </cell>
        </row>
        <row r="1646">
          <cell r="A1646">
            <v>31937</v>
          </cell>
          <cell r="J1646">
            <v>18.8</v>
          </cell>
          <cell r="K1646">
            <v>17.255099999999999</v>
          </cell>
        </row>
        <row r="1647">
          <cell r="A1647">
            <v>31938</v>
          </cell>
          <cell r="J1647">
            <v>17.8</v>
          </cell>
          <cell r="K1647">
            <v>17.179400000000001</v>
          </cell>
        </row>
        <row r="1648">
          <cell r="A1648">
            <v>31939</v>
          </cell>
          <cell r="J1648">
            <v>18.170000000000002</v>
          </cell>
          <cell r="K1648">
            <v>17.299199999999999</v>
          </cell>
        </row>
        <row r="1649">
          <cell r="A1649">
            <v>31940</v>
          </cell>
          <cell r="J1649">
            <v>17.260000000000002</v>
          </cell>
          <cell r="K1649">
            <v>16.605599999999999</v>
          </cell>
        </row>
        <row r="1650">
          <cell r="A1650">
            <v>31943</v>
          </cell>
          <cell r="J1650">
            <v>16.510000000000002</v>
          </cell>
          <cell r="K1650">
            <v>16.296199999999999</v>
          </cell>
        </row>
        <row r="1651">
          <cell r="A1651">
            <v>31944</v>
          </cell>
          <cell r="J1651">
            <v>15.95</v>
          </cell>
          <cell r="K1651">
            <v>15.9214</v>
          </cell>
        </row>
        <row r="1652">
          <cell r="A1652">
            <v>31945</v>
          </cell>
          <cell r="J1652">
            <v>15.55</v>
          </cell>
          <cell r="K1652">
            <v>15.7951</v>
          </cell>
        </row>
        <row r="1653">
          <cell r="A1653">
            <v>31946</v>
          </cell>
          <cell r="J1653">
            <v>17.579999999999998</v>
          </cell>
          <cell r="K1653">
            <v>16.363199999999999</v>
          </cell>
        </row>
        <row r="1654">
          <cell r="A1654">
            <v>31947</v>
          </cell>
          <cell r="J1654">
            <v>20.55</v>
          </cell>
          <cell r="K1654">
            <v>18.335799999999999</v>
          </cell>
        </row>
        <row r="1655">
          <cell r="A1655">
            <v>31950</v>
          </cell>
          <cell r="J1655">
            <v>20.86</v>
          </cell>
          <cell r="K1655">
            <v>21.593499999999999</v>
          </cell>
        </row>
        <row r="1656">
          <cell r="A1656">
            <v>31951</v>
          </cell>
          <cell r="J1656">
            <v>19.57</v>
          </cell>
          <cell r="K1656">
            <v>21.162299999999998</v>
          </cell>
        </row>
        <row r="1657">
          <cell r="A1657">
            <v>31952</v>
          </cell>
          <cell r="J1657">
            <v>18.579999999999998</v>
          </cell>
          <cell r="K1657">
            <v>20.018699999999999</v>
          </cell>
        </row>
        <row r="1658">
          <cell r="A1658">
            <v>31953</v>
          </cell>
          <cell r="J1658">
            <v>18.29</v>
          </cell>
          <cell r="K1658">
            <v>20.420300000000001</v>
          </cell>
        </row>
        <row r="1659">
          <cell r="A1659">
            <v>31954</v>
          </cell>
          <cell r="J1659">
            <v>19.02</v>
          </cell>
          <cell r="K1659">
            <v>20.665600000000001</v>
          </cell>
        </row>
        <row r="1660">
          <cell r="A1660">
            <v>31957</v>
          </cell>
          <cell r="J1660">
            <v>18.940000000000001</v>
          </cell>
          <cell r="K1660">
            <v>19.825299999999999</v>
          </cell>
        </row>
        <row r="1661">
          <cell r="A1661">
            <v>31958</v>
          </cell>
          <cell r="J1661">
            <v>17.899999999999999</v>
          </cell>
          <cell r="K1661">
            <v>18.8964</v>
          </cell>
        </row>
        <row r="1662">
          <cell r="A1662">
            <v>31959</v>
          </cell>
          <cell r="J1662">
            <v>17.03</v>
          </cell>
          <cell r="K1662">
            <v>18.517299999999999</v>
          </cell>
        </row>
        <row r="1663">
          <cell r="A1663">
            <v>31960</v>
          </cell>
          <cell r="J1663">
            <v>16.3</v>
          </cell>
          <cell r="K1663">
            <v>18.923100000000002</v>
          </cell>
        </row>
        <row r="1664">
          <cell r="A1664">
            <v>31961</v>
          </cell>
          <cell r="J1664">
            <v>16.899999999999999</v>
          </cell>
          <cell r="K1664">
            <v>18.507100000000001</v>
          </cell>
        </row>
        <row r="1665">
          <cell r="A1665">
            <v>31964</v>
          </cell>
          <cell r="J1665">
            <v>18.63</v>
          </cell>
          <cell r="K1665">
            <v>18.341799999999999</v>
          </cell>
        </row>
        <row r="1666">
          <cell r="A1666">
            <v>31965</v>
          </cell>
          <cell r="J1666">
            <v>17.63</v>
          </cell>
          <cell r="K1666">
            <v>17.663499999999999</v>
          </cell>
        </row>
        <row r="1667">
          <cell r="A1667">
            <v>31966</v>
          </cell>
          <cell r="J1667">
            <v>17.489999999999998</v>
          </cell>
          <cell r="K1667">
            <v>17.073799999999999</v>
          </cell>
        </row>
        <row r="1668">
          <cell r="A1668">
            <v>31967</v>
          </cell>
          <cell r="J1668">
            <v>16.84</v>
          </cell>
          <cell r="K1668">
            <v>16.619499999999999</v>
          </cell>
        </row>
        <row r="1669">
          <cell r="A1669">
            <v>31968</v>
          </cell>
          <cell r="J1669">
            <v>17.41</v>
          </cell>
          <cell r="K1669">
            <v>16.462599999999998</v>
          </cell>
        </row>
        <row r="1670">
          <cell r="A1670">
            <v>31971</v>
          </cell>
          <cell r="J1670">
            <v>16.600000000000001</v>
          </cell>
          <cell r="K1670">
            <v>15.9735</v>
          </cell>
        </row>
        <row r="1671">
          <cell r="A1671">
            <v>31972</v>
          </cell>
          <cell r="J1671">
            <v>16.09</v>
          </cell>
          <cell r="K1671">
            <v>15.4933</v>
          </cell>
        </row>
        <row r="1672">
          <cell r="A1672">
            <v>31973</v>
          </cell>
          <cell r="J1672">
            <v>15.51</v>
          </cell>
          <cell r="K1672">
            <v>15.2166</v>
          </cell>
        </row>
        <row r="1673">
          <cell r="A1673">
            <v>31974</v>
          </cell>
          <cell r="J1673">
            <v>15.03</v>
          </cell>
          <cell r="K1673">
            <v>15.352499999999999</v>
          </cell>
        </row>
        <row r="1674">
          <cell r="A1674">
            <v>31975</v>
          </cell>
          <cell r="J1674">
            <v>16.63</v>
          </cell>
          <cell r="K1674">
            <v>15.686199999999999</v>
          </cell>
        </row>
        <row r="1675">
          <cell r="A1675">
            <v>31978</v>
          </cell>
          <cell r="J1675">
            <v>18.63</v>
          </cell>
          <cell r="K1675">
            <v>16.962299999999999</v>
          </cell>
        </row>
        <row r="1676">
          <cell r="A1676">
            <v>31979</v>
          </cell>
          <cell r="J1676">
            <v>18.73</v>
          </cell>
          <cell r="K1676">
            <v>18.163900000000002</v>
          </cell>
        </row>
        <row r="1677">
          <cell r="A1677">
            <v>31980</v>
          </cell>
          <cell r="J1677">
            <v>19.23</v>
          </cell>
          <cell r="K1677">
            <v>18.328600000000002</v>
          </cell>
        </row>
        <row r="1678">
          <cell r="A1678">
            <v>31981</v>
          </cell>
          <cell r="J1678">
            <v>18.18</v>
          </cell>
          <cell r="K1678">
            <v>19.261900000000001</v>
          </cell>
        </row>
        <row r="1679">
          <cell r="A1679">
            <v>31982</v>
          </cell>
          <cell r="J1679">
            <v>17.690000000000001</v>
          </cell>
          <cell r="K1679">
            <v>18.956099999999999</v>
          </cell>
        </row>
        <row r="1680">
          <cell r="A1680">
            <v>31985</v>
          </cell>
          <cell r="J1680">
            <v>18.45</v>
          </cell>
          <cell r="K1680">
            <v>18.377700000000001</v>
          </cell>
        </row>
        <row r="1681">
          <cell r="A1681">
            <v>31986</v>
          </cell>
          <cell r="J1681">
            <v>17.649999999999999</v>
          </cell>
          <cell r="K1681">
            <v>18.310400000000001</v>
          </cell>
        </row>
        <row r="1682">
          <cell r="A1682">
            <v>31987</v>
          </cell>
          <cell r="J1682">
            <v>17</v>
          </cell>
          <cell r="K1682">
            <v>17.5014</v>
          </cell>
        </row>
        <row r="1683">
          <cell r="A1683">
            <v>31988</v>
          </cell>
          <cell r="J1683">
            <v>16.440000000000001</v>
          </cell>
          <cell r="K1683">
            <v>16.906500000000001</v>
          </cell>
        </row>
        <row r="1684">
          <cell r="A1684">
            <v>31989</v>
          </cell>
          <cell r="J1684">
            <v>16.440000000000001</v>
          </cell>
          <cell r="K1684">
            <v>17.275300000000001</v>
          </cell>
        </row>
        <row r="1685">
          <cell r="A1685">
            <v>31992</v>
          </cell>
          <cell r="J1685">
            <v>15.78</v>
          </cell>
          <cell r="K1685">
            <v>16.523900000000001</v>
          </cell>
        </row>
        <row r="1686">
          <cell r="A1686">
            <v>31993</v>
          </cell>
          <cell r="J1686">
            <v>15.83</v>
          </cell>
          <cell r="K1686">
            <v>16.6143</v>
          </cell>
        </row>
        <row r="1687">
          <cell r="A1687">
            <v>31994</v>
          </cell>
          <cell r="J1687">
            <v>21.77</v>
          </cell>
          <cell r="K1687">
            <v>19.836099999999998</v>
          </cell>
        </row>
        <row r="1688">
          <cell r="A1688">
            <v>31995</v>
          </cell>
          <cell r="J1688">
            <v>20.57</v>
          </cell>
          <cell r="K1688">
            <v>19.165199999999999</v>
          </cell>
        </row>
        <row r="1689">
          <cell r="A1689">
            <v>31996</v>
          </cell>
          <cell r="J1689">
            <v>19.489999999999998</v>
          </cell>
          <cell r="K1689">
            <v>19.207100000000001</v>
          </cell>
        </row>
        <row r="1690">
          <cell r="A1690">
            <v>31999</v>
          </cell>
          <cell r="J1690">
            <v>19.21</v>
          </cell>
          <cell r="K1690">
            <v>19.834199999999999</v>
          </cell>
        </row>
        <row r="1691">
          <cell r="A1691">
            <v>32000</v>
          </cell>
          <cell r="J1691">
            <v>19.62</v>
          </cell>
          <cell r="K1691">
            <v>19.384</v>
          </cell>
        </row>
        <row r="1692">
          <cell r="A1692">
            <v>32001</v>
          </cell>
          <cell r="J1692">
            <v>19.04</v>
          </cell>
          <cell r="K1692">
            <v>18.628499999999999</v>
          </cell>
        </row>
        <row r="1693">
          <cell r="A1693">
            <v>32002</v>
          </cell>
          <cell r="J1693">
            <v>18.010000000000002</v>
          </cell>
          <cell r="K1693">
            <v>17.726700000000001</v>
          </cell>
        </row>
        <row r="1694">
          <cell r="A1694">
            <v>32003</v>
          </cell>
          <cell r="J1694">
            <v>17.2</v>
          </cell>
          <cell r="K1694">
            <v>17.2058</v>
          </cell>
        </row>
        <row r="1695">
          <cell r="A1695">
            <v>32006</v>
          </cell>
          <cell r="J1695">
            <v>20.79</v>
          </cell>
          <cell r="K1695">
            <v>17.632100000000001</v>
          </cell>
        </row>
        <row r="1696">
          <cell r="A1696">
            <v>32007</v>
          </cell>
          <cell r="J1696">
            <v>19.57</v>
          </cell>
          <cell r="K1696">
            <v>17.966799999999999</v>
          </cell>
        </row>
        <row r="1697">
          <cell r="A1697">
            <v>32008</v>
          </cell>
          <cell r="J1697">
            <v>18.489999999999998</v>
          </cell>
          <cell r="K1697">
            <v>17.755600000000001</v>
          </cell>
        </row>
        <row r="1698">
          <cell r="A1698">
            <v>32009</v>
          </cell>
          <cell r="J1698">
            <v>17.53</v>
          </cell>
          <cell r="K1698">
            <v>17.569500000000001</v>
          </cell>
        </row>
        <row r="1699">
          <cell r="A1699">
            <v>32010</v>
          </cell>
          <cell r="J1699">
            <v>16.920000000000002</v>
          </cell>
          <cell r="K1699">
            <v>17.033999999999999</v>
          </cell>
        </row>
        <row r="1700">
          <cell r="A1700">
            <v>32013</v>
          </cell>
          <cell r="J1700">
            <v>16.45</v>
          </cell>
          <cell r="K1700">
            <v>16.5855</v>
          </cell>
        </row>
        <row r="1701">
          <cell r="A1701">
            <v>32014</v>
          </cell>
          <cell r="J1701">
            <v>16.95</v>
          </cell>
          <cell r="K1701">
            <v>17.332899999999999</v>
          </cell>
        </row>
        <row r="1702">
          <cell r="A1702">
            <v>32015</v>
          </cell>
          <cell r="J1702">
            <v>16.45</v>
          </cell>
          <cell r="K1702">
            <v>16.531400000000001</v>
          </cell>
        </row>
        <row r="1703">
          <cell r="A1703">
            <v>32016</v>
          </cell>
          <cell r="J1703">
            <v>17.04</v>
          </cell>
          <cell r="K1703">
            <v>17.0945</v>
          </cell>
        </row>
        <row r="1704">
          <cell r="A1704">
            <v>32017</v>
          </cell>
          <cell r="J1704">
            <v>17.77</v>
          </cell>
          <cell r="K1704">
            <v>17.0212</v>
          </cell>
        </row>
        <row r="1705">
          <cell r="A1705">
            <v>32020</v>
          </cell>
          <cell r="J1705">
            <v>16.91</v>
          </cell>
          <cell r="K1705">
            <v>16.4619</v>
          </cell>
        </row>
        <row r="1706">
          <cell r="A1706">
            <v>32021</v>
          </cell>
          <cell r="J1706">
            <v>16.18</v>
          </cell>
          <cell r="K1706">
            <v>15.898400000000001</v>
          </cell>
        </row>
        <row r="1707">
          <cell r="A1707">
            <v>32022</v>
          </cell>
          <cell r="J1707">
            <v>15.81</v>
          </cell>
          <cell r="K1707">
            <v>15.7478</v>
          </cell>
        </row>
        <row r="1708">
          <cell r="A1708">
            <v>32023</v>
          </cell>
          <cell r="J1708">
            <v>15.33</v>
          </cell>
          <cell r="K1708">
            <v>16.028600000000001</v>
          </cell>
        </row>
        <row r="1709">
          <cell r="A1709">
            <v>32024</v>
          </cell>
          <cell r="J1709">
            <v>16.420000000000002</v>
          </cell>
          <cell r="K1709">
            <v>17.0459</v>
          </cell>
        </row>
        <row r="1710">
          <cell r="A1710">
            <v>32027</v>
          </cell>
          <cell r="J1710">
            <v>15.85</v>
          </cell>
          <cell r="K1710">
            <v>18.787400000000002</v>
          </cell>
        </row>
        <row r="1711">
          <cell r="A1711">
            <v>32028</v>
          </cell>
          <cell r="J1711">
            <v>17.170000000000002</v>
          </cell>
          <cell r="K1711">
            <v>19.7651</v>
          </cell>
        </row>
        <row r="1712">
          <cell r="A1712">
            <v>32029</v>
          </cell>
          <cell r="J1712">
            <v>16.48</v>
          </cell>
          <cell r="K1712">
            <v>18.888300000000001</v>
          </cell>
        </row>
        <row r="1713">
          <cell r="A1713">
            <v>32030</v>
          </cell>
          <cell r="J1713">
            <v>16.53</v>
          </cell>
          <cell r="K1713">
            <v>19.000299999999999</v>
          </cell>
        </row>
        <row r="1714">
          <cell r="A1714">
            <v>32031</v>
          </cell>
          <cell r="J1714">
            <v>15.97</v>
          </cell>
          <cell r="K1714">
            <v>18.339300000000001</v>
          </cell>
        </row>
        <row r="1715">
          <cell r="A1715">
            <v>32034</v>
          </cell>
          <cell r="J1715">
            <v>15.42</v>
          </cell>
          <cell r="K1715">
            <v>17.4312</v>
          </cell>
        </row>
        <row r="1716">
          <cell r="A1716">
            <v>32035</v>
          </cell>
          <cell r="J1716">
            <v>15.79</v>
          </cell>
          <cell r="K1716">
            <v>17.324000000000002</v>
          </cell>
        </row>
        <row r="1717">
          <cell r="A1717">
            <v>32036</v>
          </cell>
          <cell r="J1717">
            <v>15.69</v>
          </cell>
          <cell r="K1717">
            <v>17.112200000000001</v>
          </cell>
        </row>
        <row r="1718">
          <cell r="A1718">
            <v>32037</v>
          </cell>
          <cell r="J1718">
            <v>15.58</v>
          </cell>
          <cell r="K1718">
            <v>17.386199999999999</v>
          </cell>
        </row>
        <row r="1719">
          <cell r="A1719">
            <v>32038</v>
          </cell>
          <cell r="J1719">
            <v>15.06</v>
          </cell>
          <cell r="K1719">
            <v>16.744700000000002</v>
          </cell>
        </row>
        <row r="1720">
          <cell r="A1720">
            <v>32041</v>
          </cell>
          <cell r="J1720">
            <v>14.78</v>
          </cell>
          <cell r="K1720">
            <v>16.750599999999999</v>
          </cell>
        </row>
        <row r="1721">
          <cell r="A1721">
            <v>32042</v>
          </cell>
          <cell r="J1721">
            <v>15.43</v>
          </cell>
          <cell r="K1721">
            <v>16.873000000000001</v>
          </cell>
        </row>
        <row r="1722">
          <cell r="A1722">
            <v>32043</v>
          </cell>
          <cell r="J1722">
            <v>17.010000000000002</v>
          </cell>
          <cell r="K1722">
            <v>17.274699999999999</v>
          </cell>
        </row>
        <row r="1723">
          <cell r="A1723">
            <v>32044</v>
          </cell>
          <cell r="J1723">
            <v>16.73</v>
          </cell>
          <cell r="K1723">
            <v>17.191299999999998</v>
          </cell>
        </row>
        <row r="1724">
          <cell r="A1724">
            <v>32045</v>
          </cell>
          <cell r="J1724">
            <v>18.45</v>
          </cell>
          <cell r="K1724">
            <v>18.943300000000001</v>
          </cell>
        </row>
        <row r="1725">
          <cell r="A1725">
            <v>32048</v>
          </cell>
          <cell r="J1725">
            <v>18.3</v>
          </cell>
          <cell r="K1725">
            <v>18.216200000000001</v>
          </cell>
        </row>
        <row r="1726">
          <cell r="A1726">
            <v>32049</v>
          </cell>
          <cell r="J1726">
            <v>18.170000000000002</v>
          </cell>
          <cell r="K1726">
            <v>17.908799999999999</v>
          </cell>
        </row>
        <row r="1727">
          <cell r="A1727">
            <v>32050</v>
          </cell>
          <cell r="J1727">
            <v>19.09</v>
          </cell>
          <cell r="K1727">
            <v>18.555299999999999</v>
          </cell>
        </row>
        <row r="1728">
          <cell r="A1728">
            <v>32051</v>
          </cell>
          <cell r="J1728">
            <v>21.42</v>
          </cell>
          <cell r="K1728">
            <v>18.9955</v>
          </cell>
        </row>
        <row r="1729">
          <cell r="A1729">
            <v>32052</v>
          </cell>
          <cell r="J1729">
            <v>20.239999999999998</v>
          </cell>
          <cell r="K1729">
            <v>18.546700000000001</v>
          </cell>
        </row>
        <row r="1730">
          <cell r="A1730">
            <v>32055</v>
          </cell>
          <cell r="J1730">
            <v>19.05</v>
          </cell>
          <cell r="K1730">
            <v>17.8232</v>
          </cell>
        </row>
        <row r="1731">
          <cell r="A1731">
            <v>32056</v>
          </cell>
          <cell r="J1731">
            <v>18</v>
          </cell>
          <cell r="K1731">
            <v>16.9255</v>
          </cell>
        </row>
        <row r="1732">
          <cell r="A1732">
            <v>32057</v>
          </cell>
          <cell r="J1732">
            <v>17.11</v>
          </cell>
          <cell r="K1732">
            <v>17.673999999999999</v>
          </cell>
        </row>
        <row r="1733">
          <cell r="A1733">
            <v>32058</v>
          </cell>
          <cell r="J1733">
            <v>16.649999999999999</v>
          </cell>
          <cell r="K1733">
            <v>17.749600000000001</v>
          </cell>
        </row>
        <row r="1734">
          <cell r="A1734">
            <v>32059</v>
          </cell>
          <cell r="J1734">
            <v>15.96</v>
          </cell>
          <cell r="K1734">
            <v>17.031600000000001</v>
          </cell>
        </row>
        <row r="1735">
          <cell r="A1735">
            <v>32062</v>
          </cell>
          <cell r="J1735">
            <v>16.84</v>
          </cell>
          <cell r="K1735">
            <v>18.456600000000002</v>
          </cell>
        </row>
        <row r="1736">
          <cell r="A1736">
            <v>32063</v>
          </cell>
          <cell r="J1736">
            <v>20.92</v>
          </cell>
          <cell r="K1736">
            <v>20.261199999999999</v>
          </cell>
        </row>
        <row r="1737">
          <cell r="A1737">
            <v>32064</v>
          </cell>
          <cell r="J1737">
            <v>20.73</v>
          </cell>
          <cell r="K1737">
            <v>20.1479</v>
          </cell>
        </row>
        <row r="1738">
          <cell r="A1738">
            <v>32065</v>
          </cell>
          <cell r="J1738">
            <v>21.76</v>
          </cell>
          <cell r="K1738">
            <v>21.342500000000001</v>
          </cell>
        </row>
        <row r="1739">
          <cell r="A1739">
            <v>32066</v>
          </cell>
          <cell r="J1739">
            <v>27.47</v>
          </cell>
          <cell r="K1739">
            <v>24.004899999999999</v>
          </cell>
        </row>
        <row r="1740">
          <cell r="A1740">
            <v>32069</v>
          </cell>
          <cell r="J1740">
            <v>26.93</v>
          </cell>
          <cell r="K1740">
            <v>26.920400000000001</v>
          </cell>
        </row>
        <row r="1741">
          <cell r="A1741">
            <v>32070</v>
          </cell>
          <cell r="J1741">
            <v>51.43</v>
          </cell>
          <cell r="K1741">
            <v>68.012200000000007</v>
          </cell>
        </row>
        <row r="1742">
          <cell r="A1742">
            <v>32071</v>
          </cell>
          <cell r="J1742">
            <v>48.73</v>
          </cell>
          <cell r="K1742">
            <v>77.075900000000004</v>
          </cell>
        </row>
        <row r="1743">
          <cell r="A1743">
            <v>32072</v>
          </cell>
          <cell r="J1743">
            <v>48.16</v>
          </cell>
          <cell r="K1743">
            <v>83.831699999999998</v>
          </cell>
        </row>
        <row r="1744">
          <cell r="A1744">
            <v>32073</v>
          </cell>
          <cell r="J1744">
            <v>48.27</v>
          </cell>
          <cell r="K1744">
            <v>82.392499999999998</v>
          </cell>
        </row>
        <row r="1745">
          <cell r="A1745">
            <v>32076</v>
          </cell>
          <cell r="J1745">
            <v>43.71</v>
          </cell>
          <cell r="K1745">
            <v>74.9024</v>
          </cell>
        </row>
        <row r="1746">
          <cell r="A1746">
            <v>32077</v>
          </cell>
          <cell r="J1746">
            <v>55.23</v>
          </cell>
          <cell r="K1746">
            <v>78.923599999999993</v>
          </cell>
        </row>
        <row r="1747">
          <cell r="A1747">
            <v>32078</v>
          </cell>
          <cell r="J1747">
            <v>50.2</v>
          </cell>
          <cell r="K1747">
            <v>72.177300000000002</v>
          </cell>
        </row>
        <row r="1748">
          <cell r="A1748">
            <v>32079</v>
          </cell>
          <cell r="J1748">
            <v>61.89</v>
          </cell>
          <cell r="K1748">
            <v>70.751199999999997</v>
          </cell>
        </row>
        <row r="1749">
          <cell r="A1749">
            <v>32080</v>
          </cell>
          <cell r="J1749">
            <v>64.349999999999994</v>
          </cell>
          <cell r="K1749">
            <v>69.240300000000005</v>
          </cell>
        </row>
        <row r="1750">
          <cell r="A1750">
            <v>32083</v>
          </cell>
          <cell r="J1750">
            <v>59.99</v>
          </cell>
          <cell r="K1750">
            <v>68.027500000000003</v>
          </cell>
        </row>
        <row r="1751">
          <cell r="A1751">
            <v>32084</v>
          </cell>
          <cell r="J1751">
            <v>54.19</v>
          </cell>
          <cell r="K1751">
            <v>62.565800000000003</v>
          </cell>
        </row>
        <row r="1752">
          <cell r="A1752">
            <v>32085</v>
          </cell>
          <cell r="J1752">
            <v>49.48</v>
          </cell>
          <cell r="K1752">
            <v>58.658900000000003</v>
          </cell>
        </row>
        <row r="1753">
          <cell r="A1753">
            <v>32086</v>
          </cell>
          <cell r="J1753">
            <v>47.36</v>
          </cell>
          <cell r="K1753">
            <v>57.268300000000004</v>
          </cell>
        </row>
        <row r="1754">
          <cell r="A1754">
            <v>32087</v>
          </cell>
          <cell r="J1754">
            <v>43.3</v>
          </cell>
          <cell r="K1754">
            <v>53.322800000000001</v>
          </cell>
        </row>
        <row r="1755">
          <cell r="A1755">
            <v>32090</v>
          </cell>
          <cell r="J1755">
            <v>39.270000000000003</v>
          </cell>
          <cell r="K1755">
            <v>48.8855</v>
          </cell>
        </row>
        <row r="1756">
          <cell r="A1756">
            <v>32091</v>
          </cell>
          <cell r="J1756">
            <v>41.61</v>
          </cell>
          <cell r="K1756">
            <v>53.683</v>
          </cell>
        </row>
        <row r="1757">
          <cell r="A1757">
            <v>32092</v>
          </cell>
          <cell r="J1757">
            <v>49.85</v>
          </cell>
          <cell r="K1757">
            <v>54.765300000000003</v>
          </cell>
        </row>
        <row r="1758">
          <cell r="A1758">
            <v>32093</v>
          </cell>
          <cell r="J1758">
            <v>45.69</v>
          </cell>
          <cell r="K1758">
            <v>53.656799999999997</v>
          </cell>
        </row>
        <row r="1759">
          <cell r="A1759">
            <v>32094</v>
          </cell>
          <cell r="J1759">
            <v>56.38</v>
          </cell>
          <cell r="K1759">
            <v>57.220199999999998</v>
          </cell>
        </row>
        <row r="1760">
          <cell r="A1760">
            <v>32097</v>
          </cell>
          <cell r="J1760">
            <v>51.09</v>
          </cell>
          <cell r="K1760">
            <v>53.019399999999997</v>
          </cell>
        </row>
        <row r="1761">
          <cell r="A1761">
            <v>32098</v>
          </cell>
          <cell r="J1761">
            <v>51.73</v>
          </cell>
          <cell r="K1761">
            <v>50.070700000000002</v>
          </cell>
        </row>
        <row r="1762">
          <cell r="A1762">
            <v>32099</v>
          </cell>
          <cell r="J1762">
            <v>47.08</v>
          </cell>
          <cell r="K1762">
            <v>47.474899999999998</v>
          </cell>
        </row>
        <row r="1763">
          <cell r="A1763">
            <v>32100</v>
          </cell>
          <cell r="J1763">
            <v>43.15</v>
          </cell>
          <cell r="K1763">
            <v>43.669899999999998</v>
          </cell>
        </row>
        <row r="1764">
          <cell r="A1764">
            <v>32101</v>
          </cell>
          <cell r="J1764">
            <v>39.770000000000003</v>
          </cell>
          <cell r="K1764">
            <v>40.842500000000001</v>
          </cell>
        </row>
        <row r="1765">
          <cell r="A1765">
            <v>32104</v>
          </cell>
          <cell r="J1765">
            <v>37.33</v>
          </cell>
          <cell r="K1765">
            <v>38.088500000000003</v>
          </cell>
        </row>
        <row r="1766">
          <cell r="A1766">
            <v>32105</v>
          </cell>
          <cell r="J1766">
            <v>34.18</v>
          </cell>
          <cell r="K1766">
            <v>35.216200000000001</v>
          </cell>
        </row>
        <row r="1767">
          <cell r="A1767">
            <v>32106</v>
          </cell>
          <cell r="J1767">
            <v>34.619999999999997</v>
          </cell>
          <cell r="K1767">
            <v>34.012700000000002</v>
          </cell>
        </row>
        <row r="1768">
          <cell r="A1768">
            <v>32107</v>
          </cell>
          <cell r="J1768">
            <v>31.57</v>
          </cell>
          <cell r="K1768">
            <v>31.6831</v>
          </cell>
        </row>
        <row r="1769">
          <cell r="A1769">
            <v>32108</v>
          </cell>
          <cell r="J1769">
            <v>29.02</v>
          </cell>
          <cell r="K1769">
            <v>30.173100000000002</v>
          </cell>
        </row>
        <row r="1770">
          <cell r="A1770">
            <v>32111</v>
          </cell>
          <cell r="J1770">
            <v>26.64</v>
          </cell>
          <cell r="K1770">
            <v>28.289100000000001</v>
          </cell>
        </row>
        <row r="1771">
          <cell r="A1771">
            <v>32112</v>
          </cell>
          <cell r="J1771">
            <v>25.85</v>
          </cell>
          <cell r="K1771">
            <v>32.437100000000001</v>
          </cell>
        </row>
        <row r="1772">
          <cell r="A1772">
            <v>32113</v>
          </cell>
          <cell r="J1772">
            <v>25.76</v>
          </cell>
          <cell r="K1772">
            <v>30.5396</v>
          </cell>
        </row>
        <row r="1773">
          <cell r="A1773">
            <v>32114</v>
          </cell>
          <cell r="J1773">
            <v>24.31</v>
          </cell>
          <cell r="K1773">
            <v>28.501100000000001</v>
          </cell>
        </row>
        <row r="1774">
          <cell r="A1774">
            <v>32115</v>
          </cell>
          <cell r="J1774">
            <v>23.73</v>
          </cell>
          <cell r="K1774">
            <v>28.024799999999999</v>
          </cell>
        </row>
        <row r="1775">
          <cell r="A1775">
            <v>32118</v>
          </cell>
          <cell r="J1775">
            <v>29.58</v>
          </cell>
          <cell r="K1775">
            <v>30.014500000000002</v>
          </cell>
        </row>
        <row r="1776">
          <cell r="A1776">
            <v>32119</v>
          </cell>
          <cell r="J1776">
            <v>30.11</v>
          </cell>
          <cell r="K1776">
            <v>28.6114</v>
          </cell>
        </row>
        <row r="1777">
          <cell r="A1777">
            <v>32120</v>
          </cell>
          <cell r="J1777">
            <v>27.67</v>
          </cell>
          <cell r="K1777">
            <v>27.046500000000002</v>
          </cell>
        </row>
        <row r="1778">
          <cell r="A1778">
            <v>32121</v>
          </cell>
          <cell r="J1778">
            <v>26</v>
          </cell>
          <cell r="K1778">
            <v>25.786100000000001</v>
          </cell>
        </row>
        <row r="1779">
          <cell r="A1779">
            <v>32122</v>
          </cell>
          <cell r="J1779">
            <v>24.7</v>
          </cell>
          <cell r="K1779">
            <v>24.160699999999999</v>
          </cell>
        </row>
        <row r="1780">
          <cell r="A1780">
            <v>32125</v>
          </cell>
          <cell r="J1780">
            <v>23.82</v>
          </cell>
          <cell r="K1780">
            <v>23.9162</v>
          </cell>
        </row>
        <row r="1781">
          <cell r="A1781">
            <v>32126</v>
          </cell>
          <cell r="J1781">
            <v>25.16</v>
          </cell>
          <cell r="K1781">
            <v>23.880500000000001</v>
          </cell>
        </row>
        <row r="1782">
          <cell r="A1782">
            <v>32127</v>
          </cell>
          <cell r="J1782">
            <v>24.03</v>
          </cell>
          <cell r="K1782">
            <v>22.642900000000001</v>
          </cell>
        </row>
        <row r="1783">
          <cell r="A1783">
            <v>32128</v>
          </cell>
          <cell r="J1783">
            <v>23.78</v>
          </cell>
          <cell r="K1783">
            <v>22.150500000000001</v>
          </cell>
        </row>
        <row r="1784">
          <cell r="A1784">
            <v>32129</v>
          </cell>
          <cell r="J1784">
            <v>22.81</v>
          </cell>
          <cell r="K1784">
            <v>21.681899999999999</v>
          </cell>
        </row>
        <row r="1785">
          <cell r="A1785">
            <v>32132</v>
          </cell>
          <cell r="J1785">
            <v>22.28</v>
          </cell>
          <cell r="K1785">
            <v>20.701499999999999</v>
          </cell>
        </row>
        <row r="1786">
          <cell r="A1786">
            <v>32133</v>
          </cell>
          <cell r="J1786">
            <v>21.85</v>
          </cell>
          <cell r="K1786">
            <v>20.476600000000001</v>
          </cell>
        </row>
        <row r="1787">
          <cell r="A1787">
            <v>32134</v>
          </cell>
          <cell r="J1787">
            <v>20.93</v>
          </cell>
          <cell r="K1787">
            <v>19.7834</v>
          </cell>
        </row>
        <row r="1788">
          <cell r="A1788">
            <v>32135</v>
          </cell>
          <cell r="J1788">
            <v>20.350000000000001</v>
          </cell>
          <cell r="K1788">
            <v>19.295500000000001</v>
          </cell>
        </row>
        <row r="1789">
          <cell r="A1789">
            <v>32136</v>
          </cell>
          <cell r="J1789">
            <v>19.149999999999999</v>
          </cell>
          <cell r="K1789">
            <v>18.6709</v>
          </cell>
        </row>
        <row r="1790">
          <cell r="A1790">
            <v>32139</v>
          </cell>
          <cell r="J1790">
            <v>18.149999999999999</v>
          </cell>
          <cell r="K1790">
            <v>17.840800000000002</v>
          </cell>
        </row>
        <row r="1791">
          <cell r="A1791">
            <v>32140</v>
          </cell>
          <cell r="J1791">
            <v>19.07</v>
          </cell>
          <cell r="K1791">
            <v>18.994299999999999</v>
          </cell>
        </row>
        <row r="1792">
          <cell r="A1792">
            <v>32141</v>
          </cell>
          <cell r="J1792">
            <v>18.46</v>
          </cell>
          <cell r="K1792">
            <v>21.338999999999999</v>
          </cell>
        </row>
        <row r="1793">
          <cell r="A1793">
            <v>32142</v>
          </cell>
          <cell r="J1793">
            <v>17.48</v>
          </cell>
          <cell r="K1793">
            <v>20.4802</v>
          </cell>
        </row>
        <row r="1794">
          <cell r="A1794">
            <v>32143</v>
          </cell>
          <cell r="J1794">
            <v>16.809999999999999</v>
          </cell>
          <cell r="K1794">
            <v>20.218599999999999</v>
          </cell>
        </row>
        <row r="1795">
          <cell r="A1795">
            <v>32146</v>
          </cell>
          <cell r="J1795">
            <v>16.18</v>
          </cell>
          <cell r="K1795">
            <v>19.244299999999999</v>
          </cell>
        </row>
        <row r="1796">
          <cell r="A1796">
            <v>32147</v>
          </cell>
          <cell r="J1796">
            <v>17.66</v>
          </cell>
          <cell r="K1796">
            <v>22.469100000000001</v>
          </cell>
        </row>
        <row r="1797">
          <cell r="A1797">
            <v>32148</v>
          </cell>
          <cell r="J1797">
            <v>17.04</v>
          </cell>
          <cell r="K1797">
            <v>22.370999999999999</v>
          </cell>
        </row>
        <row r="1798">
          <cell r="A1798">
            <v>32149</v>
          </cell>
          <cell r="J1798">
            <v>16.64</v>
          </cell>
          <cell r="K1798">
            <v>22.2486</v>
          </cell>
        </row>
        <row r="1799">
          <cell r="A1799">
            <v>32150</v>
          </cell>
          <cell r="J1799">
            <v>16.309999999999999</v>
          </cell>
          <cell r="K1799">
            <v>21.415299999999998</v>
          </cell>
        </row>
        <row r="1800">
          <cell r="A1800">
            <v>32153</v>
          </cell>
          <cell r="J1800">
            <v>15.85</v>
          </cell>
          <cell r="K1800">
            <v>22.618400000000001</v>
          </cell>
        </row>
        <row r="1801">
          <cell r="A1801">
            <v>32154</v>
          </cell>
          <cell r="J1801">
            <v>18.8</v>
          </cell>
          <cell r="K1801">
            <v>24.085999999999999</v>
          </cell>
        </row>
        <row r="1802">
          <cell r="A1802">
            <v>32155</v>
          </cell>
          <cell r="J1802">
            <v>18.54</v>
          </cell>
          <cell r="K1802">
            <v>23.8033</v>
          </cell>
        </row>
        <row r="1803">
          <cell r="A1803">
            <v>32156</v>
          </cell>
          <cell r="J1803">
            <v>21.5</v>
          </cell>
          <cell r="K1803">
            <v>23.799800000000001</v>
          </cell>
        </row>
        <row r="1804">
          <cell r="A1804">
            <v>32157</v>
          </cell>
          <cell r="J1804">
            <v>20.09</v>
          </cell>
          <cell r="K1804">
            <v>22.249099999999999</v>
          </cell>
        </row>
        <row r="1805">
          <cell r="A1805">
            <v>32160</v>
          </cell>
          <cell r="J1805">
            <v>18.95</v>
          </cell>
          <cell r="K1805">
            <v>23.661100000000001</v>
          </cell>
        </row>
        <row r="1806">
          <cell r="A1806">
            <v>32161</v>
          </cell>
          <cell r="J1806">
            <v>22.05</v>
          </cell>
          <cell r="K1806">
            <v>28.0398</v>
          </cell>
        </row>
        <row r="1807">
          <cell r="A1807">
            <v>32162</v>
          </cell>
          <cell r="J1807">
            <v>22.62</v>
          </cell>
          <cell r="K1807">
            <v>29.578299999999999</v>
          </cell>
        </row>
        <row r="1808">
          <cell r="A1808">
            <v>32163</v>
          </cell>
          <cell r="J1808">
            <v>24.6</v>
          </cell>
          <cell r="K1808">
            <v>28.975000000000001</v>
          </cell>
        </row>
        <row r="1809">
          <cell r="A1809">
            <v>32164</v>
          </cell>
          <cell r="J1809">
            <v>25.35</v>
          </cell>
          <cell r="K1809">
            <v>27.772400000000001</v>
          </cell>
        </row>
        <row r="1810">
          <cell r="A1810">
            <v>32167</v>
          </cell>
          <cell r="J1810">
            <v>25.2</v>
          </cell>
          <cell r="K1810">
            <v>27.036200000000001</v>
          </cell>
        </row>
        <row r="1811">
          <cell r="A1811">
            <v>32168</v>
          </cell>
          <cell r="J1811">
            <v>23.58</v>
          </cell>
          <cell r="K1811">
            <v>25.4998</v>
          </cell>
        </row>
        <row r="1812">
          <cell r="A1812">
            <v>32169</v>
          </cell>
          <cell r="J1812">
            <v>21.91</v>
          </cell>
          <cell r="K1812">
            <v>23.861599999999999</v>
          </cell>
        </row>
        <row r="1813">
          <cell r="A1813">
            <v>32170</v>
          </cell>
          <cell r="J1813">
            <v>20.92</v>
          </cell>
          <cell r="K1813">
            <v>22.612300000000001</v>
          </cell>
        </row>
        <row r="1814">
          <cell r="A1814">
            <v>32171</v>
          </cell>
          <cell r="J1814">
            <v>20.47</v>
          </cell>
          <cell r="K1814">
            <v>21.609500000000001</v>
          </cell>
        </row>
        <row r="1815">
          <cell r="A1815">
            <v>32174</v>
          </cell>
          <cell r="J1815">
            <v>21.99</v>
          </cell>
          <cell r="K1815">
            <v>21.331800000000001</v>
          </cell>
        </row>
        <row r="1816">
          <cell r="A1816">
            <v>32175</v>
          </cell>
          <cell r="J1816">
            <v>20.63</v>
          </cell>
          <cell r="K1816">
            <v>20.331199999999999</v>
          </cell>
        </row>
        <row r="1817">
          <cell r="A1817">
            <v>32176</v>
          </cell>
          <cell r="J1817">
            <v>23.34</v>
          </cell>
          <cell r="K1817">
            <v>20.8231</v>
          </cell>
        </row>
        <row r="1818">
          <cell r="A1818">
            <v>32177</v>
          </cell>
          <cell r="J1818">
            <v>24.46</v>
          </cell>
          <cell r="K1818">
            <v>20.310700000000001</v>
          </cell>
        </row>
        <row r="1819">
          <cell r="A1819">
            <v>32178</v>
          </cell>
          <cell r="J1819">
            <v>22.91</v>
          </cell>
          <cell r="K1819">
            <v>19.407399999999999</v>
          </cell>
        </row>
        <row r="1820">
          <cell r="A1820">
            <v>32181</v>
          </cell>
          <cell r="J1820">
            <v>22.04</v>
          </cell>
          <cell r="K1820">
            <v>19.6873</v>
          </cell>
        </row>
        <row r="1821">
          <cell r="A1821">
            <v>32182</v>
          </cell>
          <cell r="J1821">
            <v>21</v>
          </cell>
          <cell r="K1821">
            <v>21.243099999999998</v>
          </cell>
        </row>
        <row r="1822">
          <cell r="A1822">
            <v>32183</v>
          </cell>
          <cell r="J1822">
            <v>20.22</v>
          </cell>
          <cell r="K1822">
            <v>20.148499999999999</v>
          </cell>
        </row>
        <row r="1823">
          <cell r="A1823">
            <v>32184</v>
          </cell>
          <cell r="J1823">
            <v>20.399999999999999</v>
          </cell>
          <cell r="K1823">
            <v>20.366</v>
          </cell>
        </row>
        <row r="1824">
          <cell r="A1824">
            <v>32185</v>
          </cell>
          <cell r="J1824">
            <v>23.97</v>
          </cell>
          <cell r="K1824">
            <v>20.6647</v>
          </cell>
        </row>
        <row r="1825">
          <cell r="A1825">
            <v>32188</v>
          </cell>
          <cell r="J1825">
            <v>23.38</v>
          </cell>
          <cell r="K1825">
            <v>20.309799999999999</v>
          </cell>
        </row>
        <row r="1826">
          <cell r="A1826">
            <v>32189</v>
          </cell>
          <cell r="J1826">
            <v>22.15</v>
          </cell>
          <cell r="K1826">
            <v>19.427700000000002</v>
          </cell>
        </row>
        <row r="1827">
          <cell r="A1827">
            <v>32190</v>
          </cell>
          <cell r="J1827">
            <v>20.7</v>
          </cell>
          <cell r="K1827">
            <v>18.560600000000001</v>
          </cell>
        </row>
        <row r="1828">
          <cell r="A1828">
            <v>32191</v>
          </cell>
          <cell r="J1828">
            <v>20.64</v>
          </cell>
          <cell r="K1828">
            <v>18.1614</v>
          </cell>
        </row>
        <row r="1829">
          <cell r="A1829">
            <v>32192</v>
          </cell>
          <cell r="J1829">
            <v>21.47</v>
          </cell>
          <cell r="K1829">
            <v>18.1066</v>
          </cell>
        </row>
        <row r="1830">
          <cell r="A1830">
            <v>32195</v>
          </cell>
          <cell r="J1830">
            <v>20.71</v>
          </cell>
          <cell r="K1830">
            <v>18.068899999999999</v>
          </cell>
        </row>
        <row r="1831">
          <cell r="A1831">
            <v>32196</v>
          </cell>
          <cell r="J1831">
            <v>22.31</v>
          </cell>
          <cell r="K1831">
            <v>19.0336</v>
          </cell>
        </row>
        <row r="1832">
          <cell r="A1832">
            <v>32197</v>
          </cell>
          <cell r="J1832">
            <v>21.95</v>
          </cell>
          <cell r="K1832">
            <v>19.029699999999998</v>
          </cell>
        </row>
        <row r="1833">
          <cell r="A1833">
            <v>32198</v>
          </cell>
          <cell r="J1833">
            <v>20.65</v>
          </cell>
          <cell r="K1833">
            <v>18.116399999999999</v>
          </cell>
        </row>
        <row r="1834">
          <cell r="A1834">
            <v>32199</v>
          </cell>
          <cell r="J1834">
            <v>20.62</v>
          </cell>
          <cell r="K1834">
            <v>17.558299999999999</v>
          </cell>
        </row>
        <row r="1835">
          <cell r="A1835">
            <v>32202</v>
          </cell>
          <cell r="J1835">
            <v>20.170000000000002</v>
          </cell>
          <cell r="K1835">
            <v>18.099499999999999</v>
          </cell>
        </row>
        <row r="1836">
          <cell r="A1836">
            <v>32203</v>
          </cell>
          <cell r="J1836">
            <v>19.47</v>
          </cell>
          <cell r="K1836">
            <v>17.7925</v>
          </cell>
        </row>
        <row r="1837">
          <cell r="A1837">
            <v>32204</v>
          </cell>
          <cell r="J1837">
            <v>18.37</v>
          </cell>
          <cell r="K1837">
            <v>17.010999999999999</v>
          </cell>
        </row>
        <row r="1838">
          <cell r="A1838">
            <v>32205</v>
          </cell>
          <cell r="J1838">
            <v>20.99</v>
          </cell>
          <cell r="K1838">
            <v>17.495999999999999</v>
          </cell>
        </row>
        <row r="1839">
          <cell r="A1839">
            <v>32206</v>
          </cell>
          <cell r="J1839">
            <v>20.83</v>
          </cell>
          <cell r="K1839">
            <v>17.4055</v>
          </cell>
        </row>
        <row r="1840">
          <cell r="A1840">
            <v>32209</v>
          </cell>
          <cell r="J1840">
            <v>19.71</v>
          </cell>
          <cell r="K1840">
            <v>16.964700000000001</v>
          </cell>
        </row>
        <row r="1841">
          <cell r="A1841">
            <v>32210</v>
          </cell>
          <cell r="J1841">
            <v>18.559999999999999</v>
          </cell>
          <cell r="K1841">
            <v>16.449200000000001</v>
          </cell>
        </row>
        <row r="1842">
          <cell r="A1842">
            <v>32211</v>
          </cell>
          <cell r="J1842">
            <v>17.86</v>
          </cell>
          <cell r="K1842">
            <v>16.650600000000001</v>
          </cell>
        </row>
        <row r="1843">
          <cell r="A1843">
            <v>32212</v>
          </cell>
          <cell r="J1843">
            <v>18.2</v>
          </cell>
          <cell r="K1843">
            <v>16.453900000000001</v>
          </cell>
        </row>
        <row r="1844">
          <cell r="A1844">
            <v>32213</v>
          </cell>
          <cell r="J1844">
            <v>17.54</v>
          </cell>
          <cell r="K1844">
            <v>16.2836</v>
          </cell>
        </row>
        <row r="1845">
          <cell r="A1845">
            <v>32216</v>
          </cell>
          <cell r="J1845">
            <v>19.29</v>
          </cell>
          <cell r="K1845">
            <v>17.148099999999999</v>
          </cell>
        </row>
        <row r="1846">
          <cell r="A1846">
            <v>32217</v>
          </cell>
          <cell r="J1846">
            <v>18.21</v>
          </cell>
          <cell r="K1846">
            <v>16.4162</v>
          </cell>
        </row>
        <row r="1847">
          <cell r="A1847">
            <v>32218</v>
          </cell>
          <cell r="J1847">
            <v>18.350000000000001</v>
          </cell>
          <cell r="K1847">
            <v>16.528400000000001</v>
          </cell>
        </row>
        <row r="1848">
          <cell r="A1848">
            <v>32219</v>
          </cell>
          <cell r="J1848">
            <v>17.440000000000001</v>
          </cell>
          <cell r="K1848">
            <v>16.246300000000002</v>
          </cell>
        </row>
        <row r="1849">
          <cell r="A1849">
            <v>32220</v>
          </cell>
          <cell r="J1849">
            <v>16.809999999999999</v>
          </cell>
          <cell r="K1849">
            <v>15.8551</v>
          </cell>
        </row>
        <row r="1850">
          <cell r="A1850">
            <v>32223</v>
          </cell>
          <cell r="J1850">
            <v>16.260000000000002</v>
          </cell>
          <cell r="K1850">
            <v>15.691700000000001</v>
          </cell>
        </row>
        <row r="1851">
          <cell r="A1851">
            <v>32224</v>
          </cell>
          <cell r="J1851">
            <v>19.239999999999998</v>
          </cell>
          <cell r="K1851">
            <v>16.962599999999998</v>
          </cell>
        </row>
        <row r="1852">
          <cell r="A1852">
            <v>32225</v>
          </cell>
          <cell r="J1852">
            <v>19.68</v>
          </cell>
          <cell r="K1852">
            <v>17.242899999999999</v>
          </cell>
        </row>
        <row r="1853">
          <cell r="A1853">
            <v>32226</v>
          </cell>
          <cell r="J1853">
            <v>18.53</v>
          </cell>
          <cell r="K1853">
            <v>16.456700000000001</v>
          </cell>
        </row>
        <row r="1854">
          <cell r="A1854">
            <v>32227</v>
          </cell>
          <cell r="J1854">
            <v>17.71</v>
          </cell>
          <cell r="K1854">
            <v>19.1967</v>
          </cell>
        </row>
        <row r="1855">
          <cell r="A1855">
            <v>32230</v>
          </cell>
          <cell r="J1855">
            <v>17.22</v>
          </cell>
          <cell r="K1855">
            <v>21.907900000000001</v>
          </cell>
        </row>
        <row r="1856">
          <cell r="A1856">
            <v>32231</v>
          </cell>
          <cell r="J1856">
            <v>19.63</v>
          </cell>
          <cell r="K1856">
            <v>23.155100000000001</v>
          </cell>
        </row>
        <row r="1857">
          <cell r="A1857">
            <v>32232</v>
          </cell>
          <cell r="J1857">
            <v>18.63</v>
          </cell>
          <cell r="K1857">
            <v>23.901900000000001</v>
          </cell>
        </row>
        <row r="1858">
          <cell r="A1858">
            <v>32233</v>
          </cell>
          <cell r="J1858">
            <v>18.09</v>
          </cell>
          <cell r="K1858">
            <v>22.781300000000002</v>
          </cell>
        </row>
        <row r="1859">
          <cell r="A1859">
            <v>32234</v>
          </cell>
          <cell r="J1859">
            <v>17.18</v>
          </cell>
          <cell r="K1859">
            <v>21.3172</v>
          </cell>
        </row>
        <row r="1860">
          <cell r="A1860">
            <v>32237</v>
          </cell>
          <cell r="J1860">
            <v>16.48</v>
          </cell>
          <cell r="K1860">
            <v>20.034300000000002</v>
          </cell>
        </row>
        <row r="1861">
          <cell r="A1861">
            <v>32238</v>
          </cell>
          <cell r="J1861">
            <v>15.9</v>
          </cell>
          <cell r="K1861">
            <v>19.147300000000001</v>
          </cell>
        </row>
        <row r="1862">
          <cell r="A1862">
            <v>32239</v>
          </cell>
          <cell r="J1862">
            <v>15.85</v>
          </cell>
          <cell r="K1862">
            <v>18.318200000000001</v>
          </cell>
        </row>
        <row r="1863">
          <cell r="A1863">
            <v>32240</v>
          </cell>
          <cell r="J1863">
            <v>15.32</v>
          </cell>
          <cell r="K1863">
            <v>18.055599999999998</v>
          </cell>
        </row>
        <row r="1864">
          <cell r="A1864">
            <v>32241</v>
          </cell>
          <cell r="J1864">
            <v>14.85</v>
          </cell>
          <cell r="K1864">
            <v>17.105399999999999</v>
          </cell>
        </row>
        <row r="1865">
          <cell r="A1865">
            <v>32244</v>
          </cell>
          <cell r="J1865">
            <v>14.57</v>
          </cell>
          <cell r="K1865">
            <v>16.385200000000001</v>
          </cell>
        </row>
        <row r="1866">
          <cell r="A1866">
            <v>32245</v>
          </cell>
          <cell r="J1866">
            <v>16.7</v>
          </cell>
          <cell r="K1866">
            <v>16.5304</v>
          </cell>
        </row>
        <row r="1867">
          <cell r="A1867">
            <v>32246</v>
          </cell>
          <cell r="J1867">
            <v>16.37</v>
          </cell>
          <cell r="K1867">
            <v>15.962199999999999</v>
          </cell>
        </row>
        <row r="1868">
          <cell r="A1868">
            <v>32247</v>
          </cell>
          <cell r="J1868">
            <v>18.77</v>
          </cell>
          <cell r="K1868">
            <v>16.993099999999998</v>
          </cell>
        </row>
        <row r="1869">
          <cell r="A1869">
            <v>32248</v>
          </cell>
          <cell r="J1869">
            <v>17.75</v>
          </cell>
          <cell r="K1869">
            <v>17.277699999999999</v>
          </cell>
        </row>
        <row r="1870">
          <cell r="A1870">
            <v>32251</v>
          </cell>
          <cell r="J1870">
            <v>17.09</v>
          </cell>
          <cell r="K1870">
            <v>17.897300000000001</v>
          </cell>
        </row>
        <row r="1871">
          <cell r="A1871">
            <v>32252</v>
          </cell>
          <cell r="J1871">
            <v>16.5</v>
          </cell>
          <cell r="K1871">
            <v>17.063800000000001</v>
          </cell>
        </row>
        <row r="1872">
          <cell r="A1872">
            <v>32253</v>
          </cell>
          <cell r="J1872">
            <v>16.54</v>
          </cell>
          <cell r="K1872">
            <v>16.783000000000001</v>
          </cell>
        </row>
        <row r="1873">
          <cell r="A1873">
            <v>32254</v>
          </cell>
          <cell r="J1873">
            <v>15.87</v>
          </cell>
          <cell r="K1873">
            <v>17.364899999999999</v>
          </cell>
        </row>
        <row r="1874">
          <cell r="A1874">
            <v>32255</v>
          </cell>
          <cell r="J1874">
            <v>15.41</v>
          </cell>
          <cell r="K1874">
            <v>17.0291</v>
          </cell>
        </row>
        <row r="1875">
          <cell r="A1875">
            <v>32258</v>
          </cell>
          <cell r="J1875">
            <v>15.27</v>
          </cell>
          <cell r="K1875">
            <v>17.5822</v>
          </cell>
        </row>
        <row r="1876">
          <cell r="A1876">
            <v>32259</v>
          </cell>
          <cell r="J1876">
            <v>18.14</v>
          </cell>
          <cell r="K1876">
            <v>18.072800000000001</v>
          </cell>
        </row>
        <row r="1877">
          <cell r="A1877">
            <v>32260</v>
          </cell>
          <cell r="J1877">
            <v>20.96</v>
          </cell>
          <cell r="K1877">
            <v>19.637699999999999</v>
          </cell>
        </row>
        <row r="1878">
          <cell r="A1878">
            <v>32261</v>
          </cell>
          <cell r="J1878">
            <v>19.71</v>
          </cell>
          <cell r="K1878">
            <v>18.624700000000001</v>
          </cell>
        </row>
        <row r="1879">
          <cell r="A1879">
            <v>32262</v>
          </cell>
          <cell r="J1879">
            <v>18.739999999999998</v>
          </cell>
          <cell r="K1879">
            <v>17.753</v>
          </cell>
        </row>
        <row r="1880">
          <cell r="A1880">
            <v>32265</v>
          </cell>
          <cell r="J1880">
            <v>19.329999999999998</v>
          </cell>
          <cell r="K1880">
            <v>18.056000000000001</v>
          </cell>
        </row>
        <row r="1881">
          <cell r="A1881">
            <v>32266</v>
          </cell>
          <cell r="J1881">
            <v>18.690000000000001</v>
          </cell>
          <cell r="K1881">
            <v>18.360499999999998</v>
          </cell>
        </row>
        <row r="1882">
          <cell r="A1882">
            <v>32267</v>
          </cell>
          <cell r="J1882">
            <v>17.7</v>
          </cell>
          <cell r="K1882">
            <v>17.535799999999998</v>
          </cell>
        </row>
        <row r="1883">
          <cell r="A1883">
            <v>32268</v>
          </cell>
          <cell r="J1883">
            <v>16.86</v>
          </cell>
          <cell r="K1883">
            <v>17.1295</v>
          </cell>
        </row>
        <row r="1884">
          <cell r="A1884">
            <v>32269</v>
          </cell>
          <cell r="J1884">
            <v>16.75</v>
          </cell>
          <cell r="K1884">
            <v>16.986699999999999</v>
          </cell>
        </row>
        <row r="1885">
          <cell r="A1885">
            <v>32272</v>
          </cell>
          <cell r="J1885">
            <v>16.21</v>
          </cell>
          <cell r="K1885">
            <v>16.941400000000002</v>
          </cell>
        </row>
        <row r="1886">
          <cell r="A1886">
            <v>32273</v>
          </cell>
          <cell r="J1886">
            <v>16.09</v>
          </cell>
          <cell r="K1886">
            <v>17.443000000000001</v>
          </cell>
        </row>
        <row r="1887">
          <cell r="A1887">
            <v>32274</v>
          </cell>
          <cell r="J1887">
            <v>15.78</v>
          </cell>
          <cell r="K1887">
            <v>17.584900000000001</v>
          </cell>
        </row>
        <row r="1888">
          <cell r="A1888">
            <v>32275</v>
          </cell>
          <cell r="J1888">
            <v>17.59</v>
          </cell>
          <cell r="K1888">
            <v>20.406400000000001</v>
          </cell>
        </row>
        <row r="1889">
          <cell r="A1889">
            <v>32276</v>
          </cell>
          <cell r="J1889">
            <v>16.82</v>
          </cell>
          <cell r="K1889">
            <v>19.140899999999998</v>
          </cell>
        </row>
        <row r="1890">
          <cell r="A1890">
            <v>32279</v>
          </cell>
          <cell r="J1890">
            <v>16.41</v>
          </cell>
          <cell r="K1890">
            <v>18.283899999999999</v>
          </cell>
        </row>
        <row r="1891">
          <cell r="A1891">
            <v>32280</v>
          </cell>
          <cell r="J1891">
            <v>16.350000000000001</v>
          </cell>
          <cell r="K1891">
            <v>21.037299999999998</v>
          </cell>
        </row>
        <row r="1892">
          <cell r="A1892">
            <v>32281</v>
          </cell>
          <cell r="J1892">
            <v>15.72</v>
          </cell>
          <cell r="K1892">
            <v>20.772400000000001</v>
          </cell>
        </row>
        <row r="1893">
          <cell r="A1893">
            <v>32282</v>
          </cell>
          <cell r="J1893">
            <v>16.829999999999998</v>
          </cell>
          <cell r="K1893">
            <v>21.215699999999998</v>
          </cell>
        </row>
        <row r="1894">
          <cell r="A1894">
            <v>32283</v>
          </cell>
          <cell r="J1894">
            <v>16.13</v>
          </cell>
          <cell r="K1894">
            <v>21.1904</v>
          </cell>
        </row>
        <row r="1895">
          <cell r="A1895">
            <v>32286</v>
          </cell>
          <cell r="J1895">
            <v>16.47</v>
          </cell>
          <cell r="K1895">
            <v>20.007000000000001</v>
          </cell>
        </row>
        <row r="1896">
          <cell r="A1896">
            <v>32287</v>
          </cell>
          <cell r="J1896">
            <v>15.86</v>
          </cell>
          <cell r="K1896">
            <v>19.089500000000001</v>
          </cell>
        </row>
        <row r="1897">
          <cell r="A1897">
            <v>32288</v>
          </cell>
          <cell r="J1897">
            <v>15.63</v>
          </cell>
          <cell r="K1897">
            <v>18.1891</v>
          </cell>
        </row>
        <row r="1898">
          <cell r="A1898">
            <v>32289</v>
          </cell>
          <cell r="J1898">
            <v>21.01</v>
          </cell>
          <cell r="K1898">
            <v>18.836400000000001</v>
          </cell>
        </row>
        <row r="1899">
          <cell r="A1899">
            <v>32290</v>
          </cell>
          <cell r="J1899">
            <v>19.86</v>
          </cell>
          <cell r="K1899">
            <v>18.037800000000001</v>
          </cell>
        </row>
        <row r="1900">
          <cell r="A1900">
            <v>32293</v>
          </cell>
          <cell r="J1900">
            <v>19.28</v>
          </cell>
          <cell r="K1900">
            <v>17.756599999999999</v>
          </cell>
        </row>
        <row r="1901">
          <cell r="A1901">
            <v>32294</v>
          </cell>
          <cell r="J1901">
            <v>18.23</v>
          </cell>
          <cell r="K1901">
            <v>17.0166</v>
          </cell>
        </row>
        <row r="1902">
          <cell r="A1902">
            <v>32295</v>
          </cell>
          <cell r="J1902">
            <v>18.18</v>
          </cell>
          <cell r="K1902">
            <v>17.5289</v>
          </cell>
        </row>
        <row r="1903">
          <cell r="A1903">
            <v>32296</v>
          </cell>
          <cell r="J1903">
            <v>17.649999999999999</v>
          </cell>
          <cell r="K1903">
            <v>17.574300000000001</v>
          </cell>
        </row>
        <row r="1904">
          <cell r="A1904">
            <v>32297</v>
          </cell>
          <cell r="J1904">
            <v>18.27</v>
          </cell>
          <cell r="K1904">
            <v>18.102399999999999</v>
          </cell>
        </row>
        <row r="1905">
          <cell r="A1905">
            <v>32300</v>
          </cell>
          <cell r="J1905">
            <v>17.37</v>
          </cell>
          <cell r="K1905">
            <v>17.637799999999999</v>
          </cell>
        </row>
        <row r="1906">
          <cell r="A1906">
            <v>32301</v>
          </cell>
          <cell r="J1906">
            <v>18.04</v>
          </cell>
          <cell r="K1906">
            <v>17.261700000000001</v>
          </cell>
        </row>
        <row r="1907">
          <cell r="A1907">
            <v>32302</v>
          </cell>
          <cell r="J1907">
            <v>17.13</v>
          </cell>
          <cell r="K1907">
            <v>16.6812</v>
          </cell>
        </row>
        <row r="1908">
          <cell r="A1908">
            <v>32303</v>
          </cell>
          <cell r="J1908">
            <v>17.34</v>
          </cell>
          <cell r="K1908">
            <v>16.742999999999999</v>
          </cell>
        </row>
        <row r="1909">
          <cell r="A1909">
            <v>32304</v>
          </cell>
          <cell r="J1909">
            <v>18.309999999999999</v>
          </cell>
          <cell r="K1909">
            <v>16.839600000000001</v>
          </cell>
        </row>
        <row r="1910">
          <cell r="A1910">
            <v>32307</v>
          </cell>
          <cell r="J1910">
            <v>17.489999999999998</v>
          </cell>
          <cell r="K1910">
            <v>16.1328</v>
          </cell>
        </row>
        <row r="1911">
          <cell r="A1911">
            <v>32308</v>
          </cell>
          <cell r="J1911">
            <v>20.71</v>
          </cell>
          <cell r="K1911">
            <v>17.677399999999999</v>
          </cell>
        </row>
        <row r="1912">
          <cell r="A1912">
            <v>32309</v>
          </cell>
          <cell r="J1912">
            <v>19.7</v>
          </cell>
          <cell r="K1912">
            <v>17.29</v>
          </cell>
        </row>
        <row r="1913">
          <cell r="A1913">
            <v>32310</v>
          </cell>
          <cell r="J1913">
            <v>18.54</v>
          </cell>
          <cell r="K1913">
            <v>16.596499999999999</v>
          </cell>
        </row>
        <row r="1914">
          <cell r="A1914">
            <v>32311</v>
          </cell>
          <cell r="J1914">
            <v>21.56</v>
          </cell>
          <cell r="K1914">
            <v>18.61</v>
          </cell>
        </row>
        <row r="1915">
          <cell r="A1915">
            <v>32314</v>
          </cell>
          <cell r="J1915">
            <v>20.29</v>
          </cell>
          <cell r="K1915">
            <v>18.044899999999998</v>
          </cell>
        </row>
        <row r="1916">
          <cell r="A1916">
            <v>32315</v>
          </cell>
          <cell r="J1916">
            <v>19.13</v>
          </cell>
          <cell r="K1916">
            <v>19.5626</v>
          </cell>
        </row>
        <row r="1917">
          <cell r="A1917">
            <v>32316</v>
          </cell>
          <cell r="J1917">
            <v>18.600000000000001</v>
          </cell>
          <cell r="K1917">
            <v>19.371700000000001</v>
          </cell>
        </row>
        <row r="1918">
          <cell r="A1918">
            <v>32317</v>
          </cell>
          <cell r="J1918">
            <v>17.690000000000001</v>
          </cell>
          <cell r="K1918">
            <v>18.321100000000001</v>
          </cell>
        </row>
        <row r="1919">
          <cell r="A1919">
            <v>32318</v>
          </cell>
          <cell r="J1919">
            <v>16.84</v>
          </cell>
          <cell r="K1919">
            <v>17.9603</v>
          </cell>
        </row>
        <row r="1920">
          <cell r="A1920">
            <v>32321</v>
          </cell>
          <cell r="J1920">
            <v>16.86</v>
          </cell>
          <cell r="K1920">
            <v>18.628499999999999</v>
          </cell>
        </row>
        <row r="1921">
          <cell r="A1921">
            <v>32322</v>
          </cell>
          <cell r="J1921">
            <v>19.489999999999998</v>
          </cell>
          <cell r="K1921">
            <v>23.189499999999999</v>
          </cell>
        </row>
        <row r="1922">
          <cell r="A1922">
            <v>32323</v>
          </cell>
          <cell r="J1922">
            <v>18.37</v>
          </cell>
          <cell r="K1922">
            <v>21.934999999999999</v>
          </cell>
        </row>
        <row r="1923">
          <cell r="A1923">
            <v>32324</v>
          </cell>
          <cell r="J1923">
            <v>18.11</v>
          </cell>
          <cell r="K1923">
            <v>21.376000000000001</v>
          </cell>
        </row>
        <row r="1924">
          <cell r="A1924">
            <v>32325</v>
          </cell>
          <cell r="J1924">
            <v>17.350000000000001</v>
          </cell>
          <cell r="K1924">
            <v>20.173100000000002</v>
          </cell>
        </row>
        <row r="1925">
          <cell r="A1925">
            <v>32328</v>
          </cell>
          <cell r="J1925">
            <v>16.73</v>
          </cell>
          <cell r="K1925">
            <v>19.217500000000001</v>
          </cell>
        </row>
        <row r="1926">
          <cell r="A1926">
            <v>32329</v>
          </cell>
          <cell r="J1926">
            <v>16.16</v>
          </cell>
          <cell r="K1926">
            <v>18.700199999999999</v>
          </cell>
        </row>
        <row r="1927">
          <cell r="A1927">
            <v>32330</v>
          </cell>
          <cell r="J1927">
            <v>15.93</v>
          </cell>
          <cell r="K1927">
            <v>18.163900000000002</v>
          </cell>
        </row>
        <row r="1928">
          <cell r="A1928">
            <v>32331</v>
          </cell>
          <cell r="J1928">
            <v>16.28</v>
          </cell>
          <cell r="K1928">
            <v>17.573899999999998</v>
          </cell>
        </row>
        <row r="1929">
          <cell r="A1929">
            <v>32332</v>
          </cell>
          <cell r="J1929">
            <v>15.9</v>
          </cell>
          <cell r="K1929">
            <v>17.020499999999998</v>
          </cell>
        </row>
        <row r="1930">
          <cell r="A1930">
            <v>32335</v>
          </cell>
          <cell r="J1930">
            <v>16.71</v>
          </cell>
          <cell r="K1930">
            <v>17.014900000000001</v>
          </cell>
        </row>
        <row r="1931">
          <cell r="A1931">
            <v>32336</v>
          </cell>
          <cell r="J1931">
            <v>22.11</v>
          </cell>
          <cell r="K1931">
            <v>18.730899999999998</v>
          </cell>
        </row>
        <row r="1932">
          <cell r="A1932">
            <v>32337</v>
          </cell>
          <cell r="J1932">
            <v>21.62</v>
          </cell>
          <cell r="K1932">
            <v>19.287099999999999</v>
          </cell>
        </row>
        <row r="1933">
          <cell r="A1933">
            <v>32338</v>
          </cell>
          <cell r="J1933">
            <v>23.64</v>
          </cell>
          <cell r="K1933">
            <v>19.676300000000001</v>
          </cell>
        </row>
        <row r="1934">
          <cell r="A1934">
            <v>32339</v>
          </cell>
          <cell r="J1934">
            <v>22</v>
          </cell>
          <cell r="K1934">
            <v>19.123899999999999</v>
          </cell>
        </row>
        <row r="1935">
          <cell r="A1935">
            <v>32342</v>
          </cell>
          <cell r="J1935">
            <v>21.13</v>
          </cell>
          <cell r="K1935">
            <v>19.0045</v>
          </cell>
        </row>
        <row r="1936">
          <cell r="A1936">
            <v>32343</v>
          </cell>
          <cell r="J1936">
            <v>24.13</v>
          </cell>
          <cell r="K1936">
            <v>20.2789</v>
          </cell>
        </row>
        <row r="1937">
          <cell r="A1937">
            <v>32344</v>
          </cell>
          <cell r="J1937">
            <v>22.62</v>
          </cell>
          <cell r="K1937">
            <v>19.4724</v>
          </cell>
        </row>
        <row r="1938">
          <cell r="A1938">
            <v>32345</v>
          </cell>
          <cell r="J1938">
            <v>22.49</v>
          </cell>
          <cell r="K1938">
            <v>19.670999999999999</v>
          </cell>
        </row>
        <row r="1939">
          <cell r="A1939">
            <v>32346</v>
          </cell>
          <cell r="J1939">
            <v>21.34</v>
          </cell>
          <cell r="K1939">
            <v>18.6128</v>
          </cell>
        </row>
        <row r="1940">
          <cell r="A1940">
            <v>32349</v>
          </cell>
          <cell r="J1940">
            <v>20.149999999999999</v>
          </cell>
          <cell r="K1940">
            <v>18.9587</v>
          </cell>
        </row>
        <row r="1941">
          <cell r="A1941">
            <v>32350</v>
          </cell>
          <cell r="J1941">
            <v>19.8</v>
          </cell>
          <cell r="K1941">
            <v>18.754999999999999</v>
          </cell>
        </row>
        <row r="1942">
          <cell r="A1942">
            <v>32351</v>
          </cell>
          <cell r="J1942">
            <v>18.97</v>
          </cell>
          <cell r="K1942">
            <v>18.3674</v>
          </cell>
        </row>
        <row r="1943">
          <cell r="A1943">
            <v>32352</v>
          </cell>
          <cell r="J1943">
            <v>18</v>
          </cell>
          <cell r="K1943">
            <v>17.499400000000001</v>
          </cell>
        </row>
        <row r="1944">
          <cell r="A1944">
            <v>32353</v>
          </cell>
          <cell r="J1944">
            <v>17.809999999999999</v>
          </cell>
          <cell r="K1944">
            <v>17.6296</v>
          </cell>
        </row>
        <row r="1945">
          <cell r="A1945">
            <v>32356</v>
          </cell>
          <cell r="J1945">
            <v>17</v>
          </cell>
          <cell r="K1945">
            <v>17.0138</v>
          </cell>
        </row>
        <row r="1946">
          <cell r="A1946">
            <v>32357</v>
          </cell>
          <cell r="J1946">
            <v>16.260000000000002</v>
          </cell>
          <cell r="K1946">
            <v>16.5106</v>
          </cell>
        </row>
        <row r="1947">
          <cell r="A1947">
            <v>32358</v>
          </cell>
          <cell r="J1947">
            <v>15.64</v>
          </cell>
          <cell r="K1947">
            <v>15.9277</v>
          </cell>
        </row>
        <row r="1948">
          <cell r="A1948">
            <v>32359</v>
          </cell>
          <cell r="J1948">
            <v>15.57</v>
          </cell>
          <cell r="K1948">
            <v>15.5182</v>
          </cell>
        </row>
        <row r="1949">
          <cell r="A1949">
            <v>32360</v>
          </cell>
          <cell r="J1949">
            <v>15.39</v>
          </cell>
          <cell r="K1949">
            <v>15.5017</v>
          </cell>
        </row>
        <row r="1950">
          <cell r="A1950">
            <v>32363</v>
          </cell>
          <cell r="J1950">
            <v>15.75</v>
          </cell>
          <cell r="K1950">
            <v>15.6683</v>
          </cell>
        </row>
        <row r="1951">
          <cell r="A1951">
            <v>32364</v>
          </cell>
          <cell r="J1951">
            <v>16.46</v>
          </cell>
          <cell r="K1951">
            <v>15.664899999999999</v>
          </cell>
        </row>
        <row r="1952">
          <cell r="A1952">
            <v>32365</v>
          </cell>
          <cell r="J1952">
            <v>16.239999999999998</v>
          </cell>
          <cell r="K1952">
            <v>16.997800000000002</v>
          </cell>
        </row>
        <row r="1953">
          <cell r="A1953">
            <v>32366</v>
          </cell>
          <cell r="J1953">
            <v>19.739999999999998</v>
          </cell>
          <cell r="K1953">
            <v>20.857500000000002</v>
          </cell>
        </row>
        <row r="1954">
          <cell r="A1954">
            <v>32367</v>
          </cell>
          <cell r="J1954">
            <v>18.89</v>
          </cell>
          <cell r="K1954">
            <v>20.1082</v>
          </cell>
        </row>
        <row r="1955">
          <cell r="A1955">
            <v>32370</v>
          </cell>
          <cell r="J1955">
            <v>18.39</v>
          </cell>
          <cell r="K1955">
            <v>19.505099999999999</v>
          </cell>
        </row>
        <row r="1956">
          <cell r="A1956">
            <v>32371</v>
          </cell>
          <cell r="J1956">
            <v>17.579999999999998</v>
          </cell>
          <cell r="K1956">
            <v>19.793600000000001</v>
          </cell>
        </row>
        <row r="1957">
          <cell r="A1957">
            <v>32372</v>
          </cell>
          <cell r="J1957">
            <v>16.77</v>
          </cell>
          <cell r="K1957">
            <v>18.614799999999999</v>
          </cell>
        </row>
        <row r="1958">
          <cell r="A1958">
            <v>32373</v>
          </cell>
          <cell r="J1958">
            <v>16.55</v>
          </cell>
          <cell r="K1958">
            <v>18.017600000000002</v>
          </cell>
        </row>
        <row r="1959">
          <cell r="A1959">
            <v>32374</v>
          </cell>
          <cell r="J1959">
            <v>15.89</v>
          </cell>
          <cell r="K1959">
            <v>17.160399999999999</v>
          </cell>
        </row>
        <row r="1960">
          <cell r="A1960">
            <v>32377</v>
          </cell>
          <cell r="J1960">
            <v>15.61</v>
          </cell>
          <cell r="K1960">
            <v>16.840399999999999</v>
          </cell>
        </row>
        <row r="1961">
          <cell r="A1961">
            <v>32378</v>
          </cell>
          <cell r="J1961">
            <v>17.38</v>
          </cell>
          <cell r="K1961">
            <v>19.379100000000001</v>
          </cell>
        </row>
        <row r="1962">
          <cell r="A1962">
            <v>32379</v>
          </cell>
          <cell r="J1962">
            <v>16.829999999999998</v>
          </cell>
          <cell r="K1962">
            <v>18.860399999999998</v>
          </cell>
        </row>
        <row r="1963">
          <cell r="A1963">
            <v>32380</v>
          </cell>
          <cell r="J1963">
            <v>17</v>
          </cell>
          <cell r="K1963">
            <v>18.126000000000001</v>
          </cell>
        </row>
        <row r="1964">
          <cell r="A1964">
            <v>32381</v>
          </cell>
          <cell r="J1964">
            <v>16.399999999999999</v>
          </cell>
          <cell r="K1964">
            <v>18.375499999999999</v>
          </cell>
        </row>
        <row r="1965">
          <cell r="A1965">
            <v>32384</v>
          </cell>
          <cell r="J1965">
            <v>15.87</v>
          </cell>
          <cell r="K1965">
            <v>17.6648</v>
          </cell>
        </row>
        <row r="1966">
          <cell r="A1966">
            <v>32385</v>
          </cell>
          <cell r="J1966">
            <v>16.309999999999999</v>
          </cell>
          <cell r="K1966">
            <v>17.3858</v>
          </cell>
        </row>
        <row r="1967">
          <cell r="A1967">
            <v>32386</v>
          </cell>
          <cell r="J1967">
            <v>15.8</v>
          </cell>
          <cell r="K1967">
            <v>16.845300000000002</v>
          </cell>
        </row>
        <row r="1968">
          <cell r="A1968">
            <v>32387</v>
          </cell>
          <cell r="J1968">
            <v>15.65</v>
          </cell>
          <cell r="K1968">
            <v>16.5307</v>
          </cell>
        </row>
        <row r="1969">
          <cell r="A1969">
            <v>32388</v>
          </cell>
          <cell r="J1969">
            <v>16</v>
          </cell>
          <cell r="K1969">
            <v>17.963699999999999</v>
          </cell>
        </row>
        <row r="1970">
          <cell r="A1970">
            <v>32391</v>
          </cell>
          <cell r="J1970">
            <v>16.28</v>
          </cell>
          <cell r="K1970">
            <v>17.629899999999999</v>
          </cell>
        </row>
        <row r="1971">
          <cell r="A1971">
            <v>32392</v>
          </cell>
          <cell r="J1971">
            <v>15.71</v>
          </cell>
          <cell r="K1971">
            <v>17.7181</v>
          </cell>
        </row>
        <row r="1972">
          <cell r="A1972">
            <v>32393</v>
          </cell>
          <cell r="J1972">
            <v>15.19</v>
          </cell>
          <cell r="K1972">
            <v>17.043500000000002</v>
          </cell>
        </row>
        <row r="1973">
          <cell r="A1973">
            <v>32394</v>
          </cell>
          <cell r="J1973">
            <v>15.61</v>
          </cell>
          <cell r="K1973">
            <v>16.563400000000001</v>
          </cell>
        </row>
        <row r="1974">
          <cell r="A1974">
            <v>32395</v>
          </cell>
          <cell r="J1974">
            <v>15.43</v>
          </cell>
          <cell r="K1974">
            <v>16.658899999999999</v>
          </cell>
        </row>
        <row r="1975">
          <cell r="A1975">
            <v>32398</v>
          </cell>
          <cell r="J1975">
            <v>14.96</v>
          </cell>
          <cell r="K1975">
            <v>15.9817</v>
          </cell>
        </row>
        <row r="1976">
          <cell r="A1976">
            <v>32399</v>
          </cell>
          <cell r="J1976">
            <v>14.75</v>
          </cell>
          <cell r="K1976">
            <v>15.390499999999999</v>
          </cell>
        </row>
        <row r="1977">
          <cell r="A1977">
            <v>32400</v>
          </cell>
          <cell r="J1977">
            <v>15.2</v>
          </cell>
          <cell r="K1977">
            <v>14.960699999999999</v>
          </cell>
        </row>
        <row r="1978">
          <cell r="A1978">
            <v>32401</v>
          </cell>
          <cell r="J1978">
            <v>14.94</v>
          </cell>
          <cell r="K1978">
            <v>15.132099999999999</v>
          </cell>
        </row>
        <row r="1979">
          <cell r="A1979">
            <v>32402</v>
          </cell>
          <cell r="J1979">
            <v>14.73</v>
          </cell>
          <cell r="K1979">
            <v>14.8474</v>
          </cell>
        </row>
        <row r="1980">
          <cell r="A1980">
            <v>32405</v>
          </cell>
          <cell r="J1980">
            <v>14.37</v>
          </cell>
          <cell r="K1980">
            <v>14.639900000000001</v>
          </cell>
        </row>
        <row r="1981">
          <cell r="A1981">
            <v>32406</v>
          </cell>
          <cell r="J1981">
            <v>14.09</v>
          </cell>
          <cell r="K1981">
            <v>14.541600000000001</v>
          </cell>
        </row>
        <row r="1982">
          <cell r="A1982">
            <v>32407</v>
          </cell>
          <cell r="J1982">
            <v>13.88</v>
          </cell>
          <cell r="K1982">
            <v>14.152699999999999</v>
          </cell>
        </row>
        <row r="1983">
          <cell r="A1983">
            <v>32408</v>
          </cell>
          <cell r="J1983">
            <v>15.18</v>
          </cell>
          <cell r="K1983">
            <v>14.1266</v>
          </cell>
        </row>
        <row r="1984">
          <cell r="A1984">
            <v>32409</v>
          </cell>
          <cell r="J1984">
            <v>14.73</v>
          </cell>
          <cell r="K1984">
            <v>14.713200000000001</v>
          </cell>
        </row>
        <row r="1985">
          <cell r="A1985">
            <v>32412</v>
          </cell>
          <cell r="J1985">
            <v>14.94</v>
          </cell>
          <cell r="K1985">
            <v>14.6427</v>
          </cell>
        </row>
        <row r="1986">
          <cell r="A1986">
            <v>32413</v>
          </cell>
          <cell r="J1986">
            <v>14.73</v>
          </cell>
          <cell r="K1986">
            <v>14.4299</v>
          </cell>
        </row>
        <row r="1987">
          <cell r="A1987">
            <v>32414</v>
          </cell>
          <cell r="J1987">
            <v>14.97</v>
          </cell>
          <cell r="K1987">
            <v>14.355499999999999</v>
          </cell>
        </row>
        <row r="1988">
          <cell r="A1988">
            <v>32415</v>
          </cell>
          <cell r="J1988">
            <v>14.56</v>
          </cell>
          <cell r="K1988">
            <v>14.4062</v>
          </cell>
        </row>
        <row r="1989">
          <cell r="A1989">
            <v>32416</v>
          </cell>
          <cell r="J1989">
            <v>14.85</v>
          </cell>
          <cell r="K1989">
            <v>14.3348</v>
          </cell>
        </row>
        <row r="1990">
          <cell r="A1990">
            <v>32419</v>
          </cell>
          <cell r="J1990">
            <v>14.49</v>
          </cell>
          <cell r="K1990">
            <v>13.9895</v>
          </cell>
        </row>
        <row r="1991">
          <cell r="A1991">
            <v>32420</v>
          </cell>
          <cell r="J1991">
            <v>14.65</v>
          </cell>
          <cell r="K1991">
            <v>14.2897</v>
          </cell>
        </row>
        <row r="1992">
          <cell r="A1992">
            <v>32421</v>
          </cell>
          <cell r="J1992">
            <v>14.52</v>
          </cell>
          <cell r="K1992">
            <v>13.936999999999999</v>
          </cell>
        </row>
        <row r="1993">
          <cell r="A1993">
            <v>32422</v>
          </cell>
          <cell r="J1993">
            <v>14.35</v>
          </cell>
          <cell r="K1993">
            <v>13.639099999999999</v>
          </cell>
        </row>
        <row r="1994">
          <cell r="A1994">
            <v>32423</v>
          </cell>
          <cell r="J1994">
            <v>14.11</v>
          </cell>
          <cell r="K1994">
            <v>13.372999999999999</v>
          </cell>
        </row>
        <row r="1995">
          <cell r="A1995">
            <v>32426</v>
          </cell>
          <cell r="J1995">
            <v>13.85</v>
          </cell>
          <cell r="K1995">
            <v>13.704000000000001</v>
          </cell>
        </row>
        <row r="1996">
          <cell r="A1996">
            <v>32427</v>
          </cell>
          <cell r="J1996">
            <v>13.66</v>
          </cell>
          <cell r="K1996">
            <v>13.998799999999999</v>
          </cell>
        </row>
        <row r="1997">
          <cell r="A1997">
            <v>32428</v>
          </cell>
          <cell r="J1997">
            <v>16.53</v>
          </cell>
          <cell r="K1997">
            <v>14.888299999999999</v>
          </cell>
        </row>
        <row r="1998">
          <cell r="A1998">
            <v>32429</v>
          </cell>
          <cell r="J1998">
            <v>15.86</v>
          </cell>
          <cell r="K1998">
            <v>15.821199999999999</v>
          </cell>
        </row>
        <row r="1999">
          <cell r="A1999">
            <v>32430</v>
          </cell>
          <cell r="J1999">
            <v>19.73</v>
          </cell>
          <cell r="K1999">
            <v>17.566199999999998</v>
          </cell>
        </row>
        <row r="2000">
          <cell r="A2000">
            <v>32433</v>
          </cell>
          <cell r="J2000">
            <v>18.649999999999999</v>
          </cell>
          <cell r="K2000">
            <v>16.811299999999999</v>
          </cell>
        </row>
        <row r="2001">
          <cell r="A2001">
            <v>32434</v>
          </cell>
          <cell r="J2001">
            <v>19.32</v>
          </cell>
          <cell r="K2001">
            <v>16.764600000000002</v>
          </cell>
        </row>
        <row r="2002">
          <cell r="A2002">
            <v>32435</v>
          </cell>
          <cell r="J2002">
            <v>18.489999999999998</v>
          </cell>
          <cell r="K2002">
            <v>16.270600000000002</v>
          </cell>
        </row>
        <row r="2003">
          <cell r="A2003">
            <v>32436</v>
          </cell>
          <cell r="J2003">
            <v>18.559999999999999</v>
          </cell>
          <cell r="K2003">
            <v>15.8131</v>
          </cell>
        </row>
        <row r="2004">
          <cell r="A2004">
            <v>32437</v>
          </cell>
          <cell r="J2004">
            <v>17.57</v>
          </cell>
          <cell r="K2004">
            <v>15.438499999999999</v>
          </cell>
        </row>
        <row r="2005">
          <cell r="A2005">
            <v>32440</v>
          </cell>
          <cell r="J2005">
            <v>17.829999999999998</v>
          </cell>
          <cell r="K2005">
            <v>15.210100000000001</v>
          </cell>
        </row>
        <row r="2006">
          <cell r="A2006">
            <v>32441</v>
          </cell>
          <cell r="J2006">
            <v>17.04</v>
          </cell>
          <cell r="K2006">
            <v>15.6418</v>
          </cell>
        </row>
        <row r="2007">
          <cell r="A2007">
            <v>32442</v>
          </cell>
          <cell r="J2007">
            <v>16.32</v>
          </cell>
          <cell r="K2007">
            <v>15.059100000000001</v>
          </cell>
        </row>
        <row r="2008">
          <cell r="A2008">
            <v>32443</v>
          </cell>
          <cell r="J2008">
            <v>16.47</v>
          </cell>
          <cell r="K2008">
            <v>15.0908</v>
          </cell>
        </row>
        <row r="2009">
          <cell r="A2009">
            <v>32444</v>
          </cell>
          <cell r="J2009">
            <v>15.9</v>
          </cell>
          <cell r="K2009">
            <v>14.6691</v>
          </cell>
        </row>
        <row r="2010">
          <cell r="A2010">
            <v>32447</v>
          </cell>
          <cell r="J2010">
            <v>15.35</v>
          </cell>
          <cell r="K2010">
            <v>14.341100000000001</v>
          </cell>
        </row>
        <row r="2011">
          <cell r="A2011">
            <v>32448</v>
          </cell>
          <cell r="J2011">
            <v>14.9</v>
          </cell>
          <cell r="K2011">
            <v>14.1675</v>
          </cell>
        </row>
        <row r="2012">
          <cell r="A2012">
            <v>32449</v>
          </cell>
          <cell r="J2012">
            <v>15.56</v>
          </cell>
          <cell r="K2012">
            <v>14.6137</v>
          </cell>
        </row>
        <row r="2013">
          <cell r="A2013">
            <v>32450</v>
          </cell>
          <cell r="J2013">
            <v>15.32</v>
          </cell>
          <cell r="K2013">
            <v>14.497299999999999</v>
          </cell>
        </row>
        <row r="2014">
          <cell r="A2014">
            <v>32451</v>
          </cell>
          <cell r="J2014">
            <v>14.85</v>
          </cell>
          <cell r="K2014">
            <v>14.8362</v>
          </cell>
        </row>
        <row r="2015">
          <cell r="A2015">
            <v>32454</v>
          </cell>
          <cell r="J2015">
            <v>15.1</v>
          </cell>
          <cell r="K2015">
            <v>15.561199999999999</v>
          </cell>
        </row>
        <row r="2016">
          <cell r="A2016">
            <v>32455</v>
          </cell>
          <cell r="J2016">
            <v>15.97</v>
          </cell>
          <cell r="K2016">
            <v>16.708600000000001</v>
          </cell>
        </row>
        <row r="2017">
          <cell r="A2017">
            <v>32456</v>
          </cell>
          <cell r="J2017">
            <v>15.68</v>
          </cell>
          <cell r="K2017">
            <v>16.290299999999998</v>
          </cell>
        </row>
        <row r="2018">
          <cell r="A2018">
            <v>32457</v>
          </cell>
          <cell r="J2018">
            <v>15.15</v>
          </cell>
          <cell r="K2018">
            <v>15.6836</v>
          </cell>
        </row>
        <row r="2019">
          <cell r="A2019">
            <v>32458</v>
          </cell>
          <cell r="J2019">
            <v>14.96</v>
          </cell>
          <cell r="K2019">
            <v>15.446099999999999</v>
          </cell>
        </row>
        <row r="2020">
          <cell r="A2020">
            <v>32461</v>
          </cell>
          <cell r="J2020">
            <v>15.38</v>
          </cell>
          <cell r="K2020">
            <v>15.782999999999999</v>
          </cell>
        </row>
        <row r="2021">
          <cell r="A2021">
            <v>32462</v>
          </cell>
          <cell r="J2021">
            <v>19.989999999999998</v>
          </cell>
          <cell r="K2021">
            <v>18.1785</v>
          </cell>
        </row>
        <row r="2022">
          <cell r="A2022">
            <v>32463</v>
          </cell>
          <cell r="J2022">
            <v>18.82</v>
          </cell>
          <cell r="K2022">
            <v>17.3339</v>
          </cell>
        </row>
        <row r="2023">
          <cell r="A2023">
            <v>32464</v>
          </cell>
          <cell r="J2023">
            <v>18.600000000000001</v>
          </cell>
          <cell r="K2023">
            <v>16.7685</v>
          </cell>
        </row>
        <row r="2024">
          <cell r="A2024">
            <v>32465</v>
          </cell>
          <cell r="J2024">
            <v>18.03</v>
          </cell>
          <cell r="K2024">
            <v>16.2882</v>
          </cell>
        </row>
        <row r="2025">
          <cell r="A2025">
            <v>32468</v>
          </cell>
          <cell r="J2025">
            <v>17.47</v>
          </cell>
          <cell r="K2025">
            <v>16.156500000000001</v>
          </cell>
        </row>
        <row r="2026">
          <cell r="A2026">
            <v>32469</v>
          </cell>
          <cell r="J2026">
            <v>17.100000000000001</v>
          </cell>
          <cell r="K2026">
            <v>16.1646</v>
          </cell>
        </row>
        <row r="2027">
          <cell r="A2027">
            <v>32470</v>
          </cell>
          <cell r="J2027">
            <v>16.36</v>
          </cell>
          <cell r="K2027">
            <v>15.672499999999999</v>
          </cell>
        </row>
        <row r="2028">
          <cell r="A2028">
            <v>32471</v>
          </cell>
          <cell r="J2028">
            <v>17.510000000000002</v>
          </cell>
          <cell r="K2028">
            <v>15.847300000000001</v>
          </cell>
        </row>
        <row r="2029">
          <cell r="A2029">
            <v>32472</v>
          </cell>
          <cell r="J2029">
            <v>16.850000000000001</v>
          </cell>
          <cell r="K2029">
            <v>15.1983</v>
          </cell>
        </row>
        <row r="2030">
          <cell r="A2030">
            <v>32475</v>
          </cell>
          <cell r="J2030">
            <v>16.75</v>
          </cell>
          <cell r="K2030">
            <v>16.3246</v>
          </cell>
        </row>
        <row r="2031">
          <cell r="A2031">
            <v>32476</v>
          </cell>
          <cell r="J2031">
            <v>17.96</v>
          </cell>
          <cell r="K2031">
            <v>17.5991</v>
          </cell>
        </row>
        <row r="2032">
          <cell r="A2032">
            <v>32477</v>
          </cell>
          <cell r="J2032">
            <v>17.059999999999999</v>
          </cell>
          <cell r="K2032">
            <v>16.683599999999998</v>
          </cell>
        </row>
        <row r="2033">
          <cell r="A2033">
            <v>32478</v>
          </cell>
          <cell r="J2033">
            <v>16.32</v>
          </cell>
          <cell r="K2033">
            <v>15.8962</v>
          </cell>
        </row>
        <row r="2034">
          <cell r="A2034">
            <v>32479</v>
          </cell>
          <cell r="J2034">
            <v>15.68</v>
          </cell>
          <cell r="K2034">
            <v>15.503299999999999</v>
          </cell>
        </row>
        <row r="2035">
          <cell r="A2035">
            <v>32482</v>
          </cell>
          <cell r="J2035">
            <v>15.8</v>
          </cell>
          <cell r="K2035">
            <v>16.207699999999999</v>
          </cell>
        </row>
        <row r="2036">
          <cell r="A2036">
            <v>32483</v>
          </cell>
          <cell r="J2036">
            <v>15.25</v>
          </cell>
          <cell r="K2036">
            <v>16.095099999999999</v>
          </cell>
        </row>
        <row r="2037">
          <cell r="A2037">
            <v>32484</v>
          </cell>
          <cell r="J2037">
            <v>14.79</v>
          </cell>
          <cell r="K2037">
            <v>15.440300000000001</v>
          </cell>
        </row>
        <row r="2038">
          <cell r="A2038">
            <v>32485</v>
          </cell>
          <cell r="J2038">
            <v>14.89</v>
          </cell>
          <cell r="K2038">
            <v>15.3879</v>
          </cell>
        </row>
        <row r="2039">
          <cell r="A2039">
            <v>32486</v>
          </cell>
          <cell r="J2039">
            <v>14.51</v>
          </cell>
          <cell r="K2039">
            <v>14.9526</v>
          </cell>
        </row>
        <row r="2040">
          <cell r="A2040">
            <v>32489</v>
          </cell>
          <cell r="J2040">
            <v>15.37</v>
          </cell>
          <cell r="K2040">
            <v>14.984500000000001</v>
          </cell>
        </row>
        <row r="2041">
          <cell r="A2041">
            <v>32490</v>
          </cell>
          <cell r="J2041">
            <v>15.41</v>
          </cell>
          <cell r="K2041">
            <v>15.236800000000001</v>
          </cell>
        </row>
        <row r="2042">
          <cell r="A2042">
            <v>32491</v>
          </cell>
          <cell r="J2042">
            <v>16.8</v>
          </cell>
          <cell r="K2042">
            <v>16.077999999999999</v>
          </cell>
        </row>
        <row r="2043">
          <cell r="A2043">
            <v>32492</v>
          </cell>
          <cell r="J2043">
            <v>16.09</v>
          </cell>
          <cell r="K2043">
            <v>15.526199999999999</v>
          </cell>
        </row>
        <row r="2044">
          <cell r="A2044">
            <v>32493</v>
          </cell>
          <cell r="J2044">
            <v>17.010000000000002</v>
          </cell>
          <cell r="K2044">
            <v>15.774800000000001</v>
          </cell>
        </row>
        <row r="2045">
          <cell r="A2045">
            <v>32496</v>
          </cell>
          <cell r="J2045">
            <v>16.82</v>
          </cell>
          <cell r="K2045">
            <v>15.5145</v>
          </cell>
        </row>
        <row r="2046">
          <cell r="A2046">
            <v>32497</v>
          </cell>
          <cell r="J2046">
            <v>16.32</v>
          </cell>
          <cell r="K2046">
            <v>15.3035</v>
          </cell>
        </row>
        <row r="2047">
          <cell r="A2047">
            <v>32498</v>
          </cell>
          <cell r="J2047">
            <v>15.71</v>
          </cell>
          <cell r="K2047">
            <v>15.180199999999999</v>
          </cell>
        </row>
        <row r="2048">
          <cell r="A2048">
            <v>32499</v>
          </cell>
          <cell r="J2048">
            <v>15.38</v>
          </cell>
          <cell r="K2048">
            <v>15.0602</v>
          </cell>
        </row>
        <row r="2049">
          <cell r="A2049">
            <v>32500</v>
          </cell>
          <cell r="J2049">
            <v>16.079999999999998</v>
          </cell>
          <cell r="K2049">
            <v>15.402900000000001</v>
          </cell>
        </row>
        <row r="2050">
          <cell r="A2050">
            <v>32503</v>
          </cell>
          <cell r="J2050">
            <v>15.51</v>
          </cell>
          <cell r="K2050">
            <v>14.905099999999999</v>
          </cell>
        </row>
        <row r="2051">
          <cell r="A2051">
            <v>32504</v>
          </cell>
          <cell r="J2051">
            <v>15.01</v>
          </cell>
          <cell r="K2051">
            <v>14.429399999999999</v>
          </cell>
        </row>
        <row r="2052">
          <cell r="A2052">
            <v>32505</v>
          </cell>
          <cell r="J2052">
            <v>14.59</v>
          </cell>
          <cell r="K2052">
            <v>14.238200000000001</v>
          </cell>
        </row>
        <row r="2053">
          <cell r="A2053">
            <v>32506</v>
          </cell>
          <cell r="J2053">
            <v>15.9</v>
          </cell>
          <cell r="K2053">
            <v>15.603</v>
          </cell>
        </row>
        <row r="2054">
          <cell r="A2054">
            <v>32507</v>
          </cell>
          <cell r="J2054">
            <v>16.02</v>
          </cell>
          <cell r="K2054">
            <v>15.3811</v>
          </cell>
        </row>
        <row r="2055">
          <cell r="A2055">
            <v>32510</v>
          </cell>
          <cell r="J2055">
            <v>16.66</v>
          </cell>
          <cell r="K2055">
            <v>15.0139</v>
          </cell>
        </row>
        <row r="2056">
          <cell r="A2056">
            <v>32511</v>
          </cell>
          <cell r="J2056">
            <v>15.97</v>
          </cell>
          <cell r="K2056">
            <v>14.4625</v>
          </cell>
        </row>
        <row r="2057">
          <cell r="A2057">
            <v>32512</v>
          </cell>
          <cell r="J2057">
            <v>15.4</v>
          </cell>
          <cell r="K2057">
            <v>15.350099999999999</v>
          </cell>
        </row>
        <row r="2058">
          <cell r="A2058">
            <v>32513</v>
          </cell>
          <cell r="J2058">
            <v>15.22</v>
          </cell>
          <cell r="K2058">
            <v>15.3451</v>
          </cell>
        </row>
        <row r="2059">
          <cell r="A2059">
            <v>32514</v>
          </cell>
          <cell r="J2059">
            <v>16.48</v>
          </cell>
          <cell r="K2059">
            <v>15.4975</v>
          </cell>
        </row>
        <row r="2060">
          <cell r="A2060">
            <v>32517</v>
          </cell>
          <cell r="J2060">
            <v>15.88</v>
          </cell>
          <cell r="K2060">
            <v>16.785599999999999</v>
          </cell>
        </row>
        <row r="2061">
          <cell r="A2061">
            <v>32518</v>
          </cell>
          <cell r="J2061">
            <v>17.350000000000001</v>
          </cell>
          <cell r="K2061">
            <v>16.7559</v>
          </cell>
        </row>
        <row r="2062">
          <cell r="A2062">
            <v>32519</v>
          </cell>
          <cell r="J2062">
            <v>16.68</v>
          </cell>
          <cell r="K2062">
            <v>16.941299999999998</v>
          </cell>
        </row>
        <row r="2063">
          <cell r="A2063">
            <v>32520</v>
          </cell>
          <cell r="J2063">
            <v>16.350000000000001</v>
          </cell>
          <cell r="K2063">
            <v>16.449100000000001</v>
          </cell>
        </row>
        <row r="2064">
          <cell r="A2064">
            <v>32521</v>
          </cell>
          <cell r="J2064">
            <v>16.8</v>
          </cell>
          <cell r="K2064">
            <v>16.0413</v>
          </cell>
        </row>
        <row r="2065">
          <cell r="A2065">
            <v>32524</v>
          </cell>
          <cell r="J2065">
            <v>16.57</v>
          </cell>
          <cell r="K2065">
            <v>15.6083</v>
          </cell>
        </row>
        <row r="2066">
          <cell r="A2066">
            <v>32525</v>
          </cell>
          <cell r="J2066">
            <v>17.52</v>
          </cell>
          <cell r="K2066">
            <v>17.036300000000001</v>
          </cell>
        </row>
        <row r="2067">
          <cell r="A2067">
            <v>32526</v>
          </cell>
          <cell r="J2067">
            <v>16.96</v>
          </cell>
          <cell r="K2067">
            <v>17.273499999999999</v>
          </cell>
        </row>
        <row r="2068">
          <cell r="A2068">
            <v>32527</v>
          </cell>
          <cell r="J2068">
            <v>16.77</v>
          </cell>
          <cell r="K2068">
            <v>16.5593</v>
          </cell>
        </row>
        <row r="2069">
          <cell r="A2069">
            <v>32528</v>
          </cell>
          <cell r="J2069">
            <v>16.07</v>
          </cell>
          <cell r="K2069">
            <v>15.8672</v>
          </cell>
        </row>
        <row r="2070">
          <cell r="A2070">
            <v>32531</v>
          </cell>
          <cell r="J2070">
            <v>16.399999999999999</v>
          </cell>
          <cell r="K2070">
            <v>15.666499999999999</v>
          </cell>
        </row>
        <row r="2071">
          <cell r="A2071">
            <v>32532</v>
          </cell>
          <cell r="J2071">
            <v>16.899999999999999</v>
          </cell>
          <cell r="K2071">
            <v>15.8249</v>
          </cell>
        </row>
        <row r="2072">
          <cell r="A2072">
            <v>32533</v>
          </cell>
          <cell r="J2072">
            <v>18.41</v>
          </cell>
          <cell r="K2072">
            <v>16.343</v>
          </cell>
        </row>
        <row r="2073">
          <cell r="A2073">
            <v>32534</v>
          </cell>
          <cell r="J2073">
            <v>17.97</v>
          </cell>
          <cell r="K2073">
            <v>15.7661</v>
          </cell>
        </row>
        <row r="2074">
          <cell r="A2074">
            <v>32535</v>
          </cell>
          <cell r="J2074">
            <v>17.84</v>
          </cell>
          <cell r="K2074">
            <v>15.4811</v>
          </cell>
        </row>
        <row r="2075">
          <cell r="A2075">
            <v>32538</v>
          </cell>
          <cell r="J2075">
            <v>16.97</v>
          </cell>
          <cell r="K2075">
            <v>15.3658</v>
          </cell>
        </row>
        <row r="2076">
          <cell r="A2076">
            <v>32539</v>
          </cell>
          <cell r="J2076">
            <v>18.18</v>
          </cell>
          <cell r="K2076">
            <v>16.017900000000001</v>
          </cell>
        </row>
        <row r="2077">
          <cell r="A2077">
            <v>32540</v>
          </cell>
          <cell r="J2077">
            <v>18.63</v>
          </cell>
          <cell r="K2077">
            <v>16.2865</v>
          </cell>
        </row>
        <row r="2078">
          <cell r="A2078">
            <v>32541</v>
          </cell>
          <cell r="J2078">
            <v>17.690000000000001</v>
          </cell>
          <cell r="K2078">
            <v>16.7865</v>
          </cell>
        </row>
        <row r="2079">
          <cell r="A2079">
            <v>32542</v>
          </cell>
          <cell r="J2079">
            <v>17.37</v>
          </cell>
          <cell r="K2079">
            <v>16.146699999999999</v>
          </cell>
        </row>
        <row r="2080">
          <cell r="A2080">
            <v>32545</v>
          </cell>
          <cell r="J2080">
            <v>16.64</v>
          </cell>
          <cell r="K2080">
            <v>15.4915</v>
          </cell>
        </row>
        <row r="2081">
          <cell r="A2081">
            <v>32546</v>
          </cell>
          <cell r="J2081">
            <v>17.100000000000001</v>
          </cell>
          <cell r="K2081">
            <v>16.5151</v>
          </cell>
        </row>
        <row r="2082">
          <cell r="A2082">
            <v>32547</v>
          </cell>
          <cell r="J2082">
            <v>16.350000000000001</v>
          </cell>
          <cell r="K2082">
            <v>16.413699999999999</v>
          </cell>
        </row>
        <row r="2083">
          <cell r="A2083">
            <v>32548</v>
          </cell>
          <cell r="J2083">
            <v>16.61</v>
          </cell>
          <cell r="K2083">
            <v>16.078499999999998</v>
          </cell>
        </row>
        <row r="2084">
          <cell r="A2084">
            <v>32549</v>
          </cell>
          <cell r="J2084">
            <v>15.94</v>
          </cell>
          <cell r="K2084">
            <v>15.651400000000001</v>
          </cell>
        </row>
        <row r="2085">
          <cell r="A2085">
            <v>32552</v>
          </cell>
          <cell r="J2085">
            <v>15.52</v>
          </cell>
          <cell r="K2085">
            <v>16.130600000000001</v>
          </cell>
        </row>
        <row r="2086">
          <cell r="A2086">
            <v>32553</v>
          </cell>
          <cell r="J2086">
            <v>22.93</v>
          </cell>
          <cell r="K2086">
            <v>20.0947</v>
          </cell>
        </row>
        <row r="2087">
          <cell r="A2087">
            <v>32554</v>
          </cell>
          <cell r="J2087">
            <v>21.33</v>
          </cell>
          <cell r="K2087">
            <v>19.1709</v>
          </cell>
        </row>
        <row r="2088">
          <cell r="A2088">
            <v>32555</v>
          </cell>
          <cell r="J2088">
            <v>20.12</v>
          </cell>
          <cell r="K2088">
            <v>18.281500000000001</v>
          </cell>
        </row>
        <row r="2089">
          <cell r="A2089">
            <v>32556</v>
          </cell>
          <cell r="J2089">
            <v>18.95</v>
          </cell>
          <cell r="K2089">
            <v>17.741199999999999</v>
          </cell>
        </row>
        <row r="2090">
          <cell r="A2090">
            <v>32559</v>
          </cell>
          <cell r="J2090">
            <v>18.350000000000001</v>
          </cell>
          <cell r="K2090">
            <v>17.015699999999999</v>
          </cell>
        </row>
        <row r="2091">
          <cell r="A2091">
            <v>32560</v>
          </cell>
          <cell r="J2091">
            <v>17.54</v>
          </cell>
          <cell r="K2091">
            <v>16.284500000000001</v>
          </cell>
        </row>
        <row r="2092">
          <cell r="A2092">
            <v>32561</v>
          </cell>
          <cell r="J2092">
            <v>16.71</v>
          </cell>
          <cell r="K2092">
            <v>17.1661</v>
          </cell>
        </row>
        <row r="2093">
          <cell r="A2093">
            <v>32562</v>
          </cell>
          <cell r="J2093">
            <v>16.71</v>
          </cell>
          <cell r="K2093">
            <v>17.764199999999999</v>
          </cell>
        </row>
        <row r="2094">
          <cell r="A2094">
            <v>32563</v>
          </cell>
          <cell r="J2094">
            <v>19.89</v>
          </cell>
          <cell r="K2094">
            <v>18.308399999999999</v>
          </cell>
        </row>
        <row r="2095">
          <cell r="A2095">
            <v>32566</v>
          </cell>
          <cell r="J2095">
            <v>19.010000000000002</v>
          </cell>
          <cell r="K2095">
            <v>17.953499999999998</v>
          </cell>
        </row>
        <row r="2096">
          <cell r="A2096">
            <v>32567</v>
          </cell>
          <cell r="J2096">
            <v>19.75</v>
          </cell>
          <cell r="K2096">
            <v>18.5046</v>
          </cell>
        </row>
        <row r="2097">
          <cell r="A2097">
            <v>32568</v>
          </cell>
          <cell r="J2097">
            <v>20.260000000000002</v>
          </cell>
          <cell r="K2097">
            <v>17.9556</v>
          </cell>
        </row>
        <row r="2098">
          <cell r="A2098">
            <v>32569</v>
          </cell>
          <cell r="J2098">
            <v>20.64</v>
          </cell>
          <cell r="K2098">
            <v>18.186399999999999</v>
          </cell>
        </row>
        <row r="2099">
          <cell r="A2099">
            <v>32570</v>
          </cell>
          <cell r="J2099">
            <v>19.37</v>
          </cell>
          <cell r="K2099">
            <v>17.4405</v>
          </cell>
        </row>
        <row r="2100">
          <cell r="A2100">
            <v>32573</v>
          </cell>
          <cell r="J2100">
            <v>19.77</v>
          </cell>
          <cell r="K2100">
            <v>17.156300000000002</v>
          </cell>
        </row>
        <row r="2101">
          <cell r="A2101">
            <v>32574</v>
          </cell>
          <cell r="J2101">
            <v>18.71</v>
          </cell>
          <cell r="K2101">
            <v>16.4405</v>
          </cell>
        </row>
        <row r="2102">
          <cell r="A2102">
            <v>32575</v>
          </cell>
          <cell r="J2102">
            <v>18.510000000000002</v>
          </cell>
          <cell r="K2102">
            <v>16.208600000000001</v>
          </cell>
        </row>
        <row r="2103">
          <cell r="A2103">
            <v>32576</v>
          </cell>
          <cell r="J2103">
            <v>18</v>
          </cell>
          <cell r="K2103">
            <v>16.367899999999999</v>
          </cell>
        </row>
        <row r="2104">
          <cell r="A2104">
            <v>32577</v>
          </cell>
          <cell r="J2104">
            <v>17.170000000000002</v>
          </cell>
          <cell r="K2104">
            <v>16.032399999999999</v>
          </cell>
        </row>
        <row r="2105">
          <cell r="A2105">
            <v>32580</v>
          </cell>
          <cell r="J2105">
            <v>17.309999999999999</v>
          </cell>
          <cell r="K2105">
            <v>15.91</v>
          </cell>
        </row>
        <row r="2106">
          <cell r="A2106">
            <v>32581</v>
          </cell>
          <cell r="J2106">
            <v>16.53</v>
          </cell>
          <cell r="K2106">
            <v>15.3834</v>
          </cell>
        </row>
        <row r="2107">
          <cell r="A2107">
            <v>32582</v>
          </cell>
          <cell r="J2107">
            <v>16.12</v>
          </cell>
          <cell r="K2107">
            <v>15.1318</v>
          </cell>
        </row>
        <row r="2108">
          <cell r="A2108">
            <v>32583</v>
          </cell>
          <cell r="J2108">
            <v>15.52</v>
          </cell>
          <cell r="K2108">
            <v>14.5006</v>
          </cell>
        </row>
        <row r="2109">
          <cell r="A2109">
            <v>32584</v>
          </cell>
          <cell r="J2109">
            <v>15.02</v>
          </cell>
          <cell r="K2109">
            <v>14.238200000000001</v>
          </cell>
        </row>
        <row r="2110">
          <cell r="A2110">
            <v>32587</v>
          </cell>
          <cell r="J2110">
            <v>18.02</v>
          </cell>
          <cell r="K2110">
            <v>18.884899999999998</v>
          </cell>
        </row>
        <row r="2111">
          <cell r="A2111">
            <v>32588</v>
          </cell>
          <cell r="J2111">
            <v>18.059999999999999</v>
          </cell>
          <cell r="K2111">
            <v>19.751200000000001</v>
          </cell>
        </row>
        <row r="2112">
          <cell r="A2112">
            <v>32589</v>
          </cell>
          <cell r="J2112">
            <v>17.829999999999998</v>
          </cell>
          <cell r="K2112">
            <v>18.9255</v>
          </cell>
        </row>
        <row r="2113">
          <cell r="A2113">
            <v>32590</v>
          </cell>
          <cell r="J2113">
            <v>17</v>
          </cell>
          <cell r="K2113">
            <v>18.305199999999999</v>
          </cell>
        </row>
        <row r="2114">
          <cell r="A2114">
            <v>32591</v>
          </cell>
          <cell r="J2114">
            <v>16.3</v>
          </cell>
          <cell r="K2114">
            <v>17.380099999999999</v>
          </cell>
        </row>
        <row r="2115">
          <cell r="A2115">
            <v>32594</v>
          </cell>
          <cell r="J2115">
            <v>16.11</v>
          </cell>
          <cell r="K2115">
            <v>17.081499999999998</v>
          </cell>
        </row>
        <row r="2116">
          <cell r="A2116">
            <v>32595</v>
          </cell>
          <cell r="J2116">
            <v>16.2</v>
          </cell>
          <cell r="K2116">
            <v>16.974499999999999</v>
          </cell>
        </row>
        <row r="2117">
          <cell r="A2117">
            <v>32596</v>
          </cell>
          <cell r="J2117">
            <v>15.89</v>
          </cell>
          <cell r="K2117">
            <v>16.1951</v>
          </cell>
        </row>
        <row r="2118">
          <cell r="A2118">
            <v>32597</v>
          </cell>
          <cell r="J2118">
            <v>15.33</v>
          </cell>
          <cell r="K2118">
            <v>15.792199999999999</v>
          </cell>
        </row>
        <row r="2119">
          <cell r="A2119">
            <v>32598</v>
          </cell>
          <cell r="J2119">
            <v>14.99</v>
          </cell>
          <cell r="K2119">
            <v>15.559100000000001</v>
          </cell>
        </row>
        <row r="2120">
          <cell r="A2120">
            <v>32601</v>
          </cell>
          <cell r="J2120">
            <v>14.6</v>
          </cell>
          <cell r="K2120">
            <v>14.969200000000001</v>
          </cell>
        </row>
        <row r="2121">
          <cell r="A2121">
            <v>32602</v>
          </cell>
          <cell r="J2121">
            <v>14.84</v>
          </cell>
          <cell r="K2121">
            <v>15.1218</v>
          </cell>
        </row>
        <row r="2122">
          <cell r="A2122">
            <v>32603</v>
          </cell>
          <cell r="J2122">
            <v>16.149999999999999</v>
          </cell>
          <cell r="K2122">
            <v>15.1266</v>
          </cell>
        </row>
        <row r="2123">
          <cell r="A2123">
            <v>32604</v>
          </cell>
          <cell r="J2123">
            <v>15.57</v>
          </cell>
          <cell r="K2123">
            <v>14.8019</v>
          </cell>
        </row>
        <row r="2124">
          <cell r="A2124">
            <v>32605</v>
          </cell>
          <cell r="J2124">
            <v>15.72</v>
          </cell>
          <cell r="K2124">
            <v>15.349</v>
          </cell>
        </row>
        <row r="2125">
          <cell r="A2125">
            <v>32608</v>
          </cell>
          <cell r="J2125">
            <v>15.73</v>
          </cell>
          <cell r="K2125">
            <v>15.255800000000001</v>
          </cell>
        </row>
        <row r="2126">
          <cell r="A2126">
            <v>32609</v>
          </cell>
          <cell r="J2126">
            <v>15.2</v>
          </cell>
          <cell r="K2126">
            <v>15.1701</v>
          </cell>
        </row>
        <row r="2127">
          <cell r="A2127">
            <v>32610</v>
          </cell>
          <cell r="J2127">
            <v>14.75</v>
          </cell>
          <cell r="K2127">
            <v>14.6656</v>
          </cell>
        </row>
        <row r="2128">
          <cell r="A2128">
            <v>32611</v>
          </cell>
          <cell r="J2128">
            <v>14.37</v>
          </cell>
          <cell r="K2128">
            <v>14.198399999999999</v>
          </cell>
        </row>
        <row r="2129">
          <cell r="A2129">
            <v>32612</v>
          </cell>
          <cell r="J2129">
            <v>14.07</v>
          </cell>
          <cell r="K2129">
            <v>13.958600000000001</v>
          </cell>
        </row>
        <row r="2130">
          <cell r="A2130">
            <v>32615</v>
          </cell>
          <cell r="J2130">
            <v>13.97</v>
          </cell>
          <cell r="K2130">
            <v>13.9017</v>
          </cell>
        </row>
        <row r="2131">
          <cell r="A2131">
            <v>32616</v>
          </cell>
          <cell r="J2131">
            <v>15.09</v>
          </cell>
          <cell r="K2131">
            <v>13.977</v>
          </cell>
        </row>
        <row r="2132">
          <cell r="A2132">
            <v>32617</v>
          </cell>
          <cell r="J2132">
            <v>14.83</v>
          </cell>
          <cell r="K2132">
            <v>14.0968</v>
          </cell>
        </row>
        <row r="2133">
          <cell r="A2133">
            <v>32618</v>
          </cell>
          <cell r="J2133">
            <v>14.66</v>
          </cell>
          <cell r="K2133">
            <v>13.846399999999999</v>
          </cell>
        </row>
        <row r="2134">
          <cell r="A2134">
            <v>32619</v>
          </cell>
          <cell r="J2134">
            <v>14.51</v>
          </cell>
          <cell r="K2134">
            <v>14.555199999999999</v>
          </cell>
        </row>
        <row r="2135">
          <cell r="A2135">
            <v>32622</v>
          </cell>
          <cell r="J2135">
            <v>14.52</v>
          </cell>
          <cell r="K2135">
            <v>14.230600000000001</v>
          </cell>
        </row>
        <row r="2136">
          <cell r="A2136">
            <v>32623</v>
          </cell>
          <cell r="J2136">
            <v>14.72</v>
          </cell>
          <cell r="K2136">
            <v>14.773400000000001</v>
          </cell>
        </row>
        <row r="2137">
          <cell r="A2137">
            <v>32624</v>
          </cell>
          <cell r="J2137">
            <v>15.67</v>
          </cell>
          <cell r="K2137">
            <v>15.1951</v>
          </cell>
        </row>
        <row r="2138">
          <cell r="A2138">
            <v>32625</v>
          </cell>
          <cell r="J2138">
            <v>18.62</v>
          </cell>
          <cell r="K2138">
            <v>16.117100000000001</v>
          </cell>
        </row>
        <row r="2139">
          <cell r="A2139">
            <v>32626</v>
          </cell>
          <cell r="J2139">
            <v>17.64</v>
          </cell>
          <cell r="K2139">
            <v>15.495100000000001</v>
          </cell>
        </row>
        <row r="2140">
          <cell r="A2140">
            <v>32629</v>
          </cell>
          <cell r="J2140">
            <v>16.8</v>
          </cell>
          <cell r="K2140">
            <v>15.660600000000001</v>
          </cell>
        </row>
        <row r="2141">
          <cell r="A2141">
            <v>32630</v>
          </cell>
          <cell r="J2141">
            <v>16.350000000000001</v>
          </cell>
          <cell r="K2141">
            <v>16.692699999999999</v>
          </cell>
        </row>
        <row r="2142">
          <cell r="A2142">
            <v>32631</v>
          </cell>
          <cell r="J2142">
            <v>15.83</v>
          </cell>
          <cell r="K2142">
            <v>16.036000000000001</v>
          </cell>
        </row>
        <row r="2143">
          <cell r="A2143">
            <v>32632</v>
          </cell>
          <cell r="J2143">
            <v>16.149999999999999</v>
          </cell>
          <cell r="K2143">
            <v>15.9009</v>
          </cell>
        </row>
        <row r="2144">
          <cell r="A2144">
            <v>32633</v>
          </cell>
          <cell r="J2144">
            <v>15.58</v>
          </cell>
          <cell r="K2144">
            <v>15.263</v>
          </cell>
        </row>
        <row r="2145">
          <cell r="A2145">
            <v>32636</v>
          </cell>
          <cell r="J2145">
            <v>15.06</v>
          </cell>
          <cell r="K2145">
            <v>14.777100000000001</v>
          </cell>
        </row>
        <row r="2146">
          <cell r="A2146">
            <v>32637</v>
          </cell>
          <cell r="J2146">
            <v>15.7</v>
          </cell>
          <cell r="K2146">
            <v>15.757</v>
          </cell>
        </row>
        <row r="2147">
          <cell r="A2147">
            <v>32638</v>
          </cell>
          <cell r="J2147">
            <v>16.11</v>
          </cell>
          <cell r="K2147">
            <v>16.437899999999999</v>
          </cell>
        </row>
        <row r="2148">
          <cell r="A2148">
            <v>32639</v>
          </cell>
          <cell r="J2148">
            <v>15.72</v>
          </cell>
          <cell r="K2148">
            <v>15.7643</v>
          </cell>
        </row>
        <row r="2149">
          <cell r="A2149">
            <v>32640</v>
          </cell>
          <cell r="J2149">
            <v>16.190000000000001</v>
          </cell>
          <cell r="K2149">
            <v>15.8131</v>
          </cell>
        </row>
        <row r="2150">
          <cell r="A2150">
            <v>32643</v>
          </cell>
          <cell r="J2150">
            <v>17.440000000000001</v>
          </cell>
          <cell r="K2150">
            <v>16.692399999999999</v>
          </cell>
        </row>
        <row r="2151">
          <cell r="A2151">
            <v>32644</v>
          </cell>
          <cell r="J2151">
            <v>21.21</v>
          </cell>
          <cell r="K2151">
            <v>19.7043</v>
          </cell>
        </row>
        <row r="2152">
          <cell r="A2152">
            <v>32645</v>
          </cell>
          <cell r="J2152">
            <v>19.91</v>
          </cell>
          <cell r="K2152">
            <v>18.6387</v>
          </cell>
        </row>
        <row r="2153">
          <cell r="A2153">
            <v>32646</v>
          </cell>
          <cell r="J2153">
            <v>23</v>
          </cell>
          <cell r="K2153">
            <v>20.079499999999999</v>
          </cell>
        </row>
        <row r="2154">
          <cell r="A2154">
            <v>32647</v>
          </cell>
          <cell r="J2154">
            <v>21.51</v>
          </cell>
          <cell r="K2154">
            <v>18.918900000000001</v>
          </cell>
        </row>
        <row r="2155">
          <cell r="A2155">
            <v>32650</v>
          </cell>
          <cell r="J2155">
            <v>20.54</v>
          </cell>
          <cell r="K2155">
            <v>18.105399999999999</v>
          </cell>
        </row>
        <row r="2156">
          <cell r="A2156">
            <v>32651</v>
          </cell>
          <cell r="J2156">
            <v>22.21</v>
          </cell>
          <cell r="K2156">
            <v>21.820699999999999</v>
          </cell>
        </row>
        <row r="2157">
          <cell r="A2157">
            <v>32652</v>
          </cell>
          <cell r="J2157">
            <v>20.78</v>
          </cell>
          <cell r="K2157">
            <v>20.900600000000001</v>
          </cell>
        </row>
        <row r="2158">
          <cell r="A2158">
            <v>32653</v>
          </cell>
          <cell r="J2158">
            <v>19.48</v>
          </cell>
          <cell r="K2158">
            <v>20.341699999999999</v>
          </cell>
        </row>
        <row r="2159">
          <cell r="A2159">
            <v>32654</v>
          </cell>
          <cell r="J2159">
            <v>21.78</v>
          </cell>
          <cell r="K2159">
            <v>20.082599999999999</v>
          </cell>
        </row>
        <row r="2160">
          <cell r="A2160">
            <v>32657</v>
          </cell>
          <cell r="J2160">
            <v>22.03</v>
          </cell>
          <cell r="K2160">
            <v>20.286100000000001</v>
          </cell>
        </row>
        <row r="2161">
          <cell r="A2161">
            <v>32658</v>
          </cell>
          <cell r="J2161">
            <v>24.07</v>
          </cell>
          <cell r="K2161">
            <v>22.122900000000001</v>
          </cell>
        </row>
        <row r="2162">
          <cell r="A2162">
            <v>32659</v>
          </cell>
          <cell r="J2162">
            <v>22.43</v>
          </cell>
          <cell r="K2162">
            <v>21.1997</v>
          </cell>
        </row>
        <row r="2163">
          <cell r="A2163">
            <v>32660</v>
          </cell>
          <cell r="J2163">
            <v>21.21</v>
          </cell>
          <cell r="K2163">
            <v>20.099900000000002</v>
          </cell>
        </row>
        <row r="2164">
          <cell r="A2164">
            <v>32661</v>
          </cell>
          <cell r="J2164">
            <v>20.04</v>
          </cell>
          <cell r="K2164">
            <v>19.072500000000002</v>
          </cell>
        </row>
        <row r="2165">
          <cell r="A2165">
            <v>32664</v>
          </cell>
          <cell r="J2165">
            <v>20.89</v>
          </cell>
          <cell r="K2165">
            <v>18.677</v>
          </cell>
        </row>
        <row r="2166">
          <cell r="A2166">
            <v>32665</v>
          </cell>
          <cell r="J2166">
            <v>19.579999999999998</v>
          </cell>
          <cell r="K2166">
            <v>17.911300000000001</v>
          </cell>
        </row>
        <row r="2167">
          <cell r="A2167">
            <v>32666</v>
          </cell>
          <cell r="J2167">
            <v>21.14</v>
          </cell>
          <cell r="K2167">
            <v>18.2986</v>
          </cell>
        </row>
        <row r="2168">
          <cell r="A2168">
            <v>32667</v>
          </cell>
          <cell r="J2168">
            <v>20.09</v>
          </cell>
          <cell r="K2168">
            <v>18.215199999999999</v>
          </cell>
        </row>
        <row r="2169">
          <cell r="A2169">
            <v>32668</v>
          </cell>
          <cell r="J2169">
            <v>18.940000000000001</v>
          </cell>
          <cell r="K2169">
            <v>17.267600000000002</v>
          </cell>
        </row>
        <row r="2170">
          <cell r="A2170">
            <v>32671</v>
          </cell>
          <cell r="J2170">
            <v>19.87</v>
          </cell>
          <cell r="K2170">
            <v>19.129799999999999</v>
          </cell>
        </row>
        <row r="2171">
          <cell r="A2171">
            <v>32672</v>
          </cell>
          <cell r="J2171">
            <v>21.17</v>
          </cell>
          <cell r="K2171">
            <v>19.9557</v>
          </cell>
        </row>
        <row r="2172">
          <cell r="A2172">
            <v>32673</v>
          </cell>
          <cell r="J2172">
            <v>19.89</v>
          </cell>
          <cell r="K2172">
            <v>19.465</v>
          </cell>
        </row>
        <row r="2173">
          <cell r="A2173">
            <v>32674</v>
          </cell>
          <cell r="J2173">
            <v>18.899999999999999</v>
          </cell>
          <cell r="K2173">
            <v>18.432500000000001</v>
          </cell>
        </row>
        <row r="2174">
          <cell r="A2174">
            <v>32675</v>
          </cell>
          <cell r="J2174">
            <v>19.170000000000002</v>
          </cell>
          <cell r="K2174">
            <v>18.769200000000001</v>
          </cell>
        </row>
        <row r="2175">
          <cell r="A2175">
            <v>32678</v>
          </cell>
          <cell r="J2175">
            <v>18.59</v>
          </cell>
          <cell r="K2175">
            <v>19.762499999999999</v>
          </cell>
        </row>
        <row r="2176">
          <cell r="A2176">
            <v>32679</v>
          </cell>
          <cell r="J2176">
            <v>17.62</v>
          </cell>
          <cell r="K2176">
            <v>19.639500000000002</v>
          </cell>
        </row>
        <row r="2177">
          <cell r="A2177">
            <v>32680</v>
          </cell>
          <cell r="J2177">
            <v>18.37</v>
          </cell>
          <cell r="K2177">
            <v>18.892399999999999</v>
          </cell>
        </row>
        <row r="2178">
          <cell r="A2178">
            <v>32681</v>
          </cell>
          <cell r="J2178">
            <v>17.96</v>
          </cell>
          <cell r="K2178">
            <v>18.5916</v>
          </cell>
        </row>
        <row r="2179">
          <cell r="A2179">
            <v>32682</v>
          </cell>
          <cell r="J2179">
            <v>18.27</v>
          </cell>
          <cell r="K2179">
            <v>18.402100000000001</v>
          </cell>
        </row>
        <row r="2180">
          <cell r="A2180">
            <v>32685</v>
          </cell>
          <cell r="J2180">
            <v>19.09</v>
          </cell>
          <cell r="K2180">
            <v>17.9893</v>
          </cell>
        </row>
        <row r="2181">
          <cell r="A2181">
            <v>32686</v>
          </cell>
          <cell r="J2181">
            <v>18.61</v>
          </cell>
          <cell r="K2181">
            <v>17.8642</v>
          </cell>
        </row>
        <row r="2182">
          <cell r="A2182">
            <v>32687</v>
          </cell>
          <cell r="J2182">
            <v>17.670000000000002</v>
          </cell>
          <cell r="K2182">
            <v>17.535900000000002</v>
          </cell>
        </row>
        <row r="2183">
          <cell r="A2183">
            <v>32688</v>
          </cell>
          <cell r="J2183">
            <v>18.239999999999998</v>
          </cell>
          <cell r="K2183">
            <v>17.674299999999999</v>
          </cell>
        </row>
        <row r="2184">
          <cell r="A2184">
            <v>32689</v>
          </cell>
          <cell r="J2184">
            <v>17.329999999999998</v>
          </cell>
          <cell r="K2184">
            <v>17.537700000000001</v>
          </cell>
        </row>
        <row r="2185">
          <cell r="A2185">
            <v>32692</v>
          </cell>
          <cell r="J2185">
            <v>17.420000000000002</v>
          </cell>
          <cell r="K2185">
            <v>19.365600000000001</v>
          </cell>
        </row>
        <row r="2186">
          <cell r="A2186">
            <v>32693</v>
          </cell>
          <cell r="J2186">
            <v>17.3</v>
          </cell>
          <cell r="K2186">
            <v>19.121700000000001</v>
          </cell>
        </row>
        <row r="2187">
          <cell r="A2187">
            <v>32694</v>
          </cell>
          <cell r="J2187">
            <v>16.7</v>
          </cell>
          <cell r="K2187">
            <v>18.2547</v>
          </cell>
        </row>
        <row r="2188">
          <cell r="A2188">
            <v>32695</v>
          </cell>
          <cell r="J2188">
            <v>16.21</v>
          </cell>
          <cell r="K2188">
            <v>17.421399999999998</v>
          </cell>
        </row>
        <row r="2189">
          <cell r="A2189">
            <v>32696</v>
          </cell>
          <cell r="J2189">
            <v>16.62</v>
          </cell>
          <cell r="K2189">
            <v>17.053899999999999</v>
          </cell>
        </row>
        <row r="2190">
          <cell r="A2190">
            <v>32699</v>
          </cell>
          <cell r="J2190">
            <v>16.21</v>
          </cell>
          <cell r="K2190">
            <v>17.0139</v>
          </cell>
        </row>
        <row r="2191">
          <cell r="A2191">
            <v>32700</v>
          </cell>
          <cell r="J2191">
            <v>16.77</v>
          </cell>
          <cell r="K2191">
            <v>17.047899999999998</v>
          </cell>
        </row>
        <row r="2192">
          <cell r="A2192">
            <v>32701</v>
          </cell>
          <cell r="J2192">
            <v>16.059999999999999</v>
          </cell>
          <cell r="K2192">
            <v>17.585599999999999</v>
          </cell>
        </row>
        <row r="2193">
          <cell r="A2193">
            <v>32702</v>
          </cell>
          <cell r="J2193">
            <v>15.51</v>
          </cell>
          <cell r="K2193">
            <v>16.768799999999999</v>
          </cell>
        </row>
        <row r="2194">
          <cell r="A2194">
            <v>32703</v>
          </cell>
          <cell r="J2194">
            <v>15.03</v>
          </cell>
          <cell r="K2194">
            <v>16.048500000000001</v>
          </cell>
        </row>
        <row r="2195">
          <cell r="A2195">
            <v>32706</v>
          </cell>
          <cell r="J2195">
            <v>16.62</v>
          </cell>
          <cell r="K2195">
            <v>16.147200000000002</v>
          </cell>
        </row>
        <row r="2196">
          <cell r="A2196">
            <v>32707</v>
          </cell>
          <cell r="J2196">
            <v>16.079999999999998</v>
          </cell>
          <cell r="K2196">
            <v>15.966900000000001</v>
          </cell>
        </row>
        <row r="2197">
          <cell r="A2197">
            <v>32708</v>
          </cell>
          <cell r="J2197">
            <v>15.48</v>
          </cell>
          <cell r="K2197">
            <v>15.415100000000001</v>
          </cell>
        </row>
        <row r="2198">
          <cell r="A2198">
            <v>32709</v>
          </cell>
          <cell r="J2198">
            <v>14.98</v>
          </cell>
          <cell r="K2198">
            <v>15.1685</v>
          </cell>
        </row>
        <row r="2199">
          <cell r="A2199">
            <v>32710</v>
          </cell>
          <cell r="J2199">
            <v>14.59</v>
          </cell>
          <cell r="K2199">
            <v>14.818199999999999</v>
          </cell>
        </row>
        <row r="2200">
          <cell r="A2200">
            <v>32713</v>
          </cell>
          <cell r="J2200">
            <v>14.72</v>
          </cell>
          <cell r="K2200">
            <v>14.5715</v>
          </cell>
        </row>
        <row r="2201">
          <cell r="A2201">
            <v>32714</v>
          </cell>
          <cell r="J2201">
            <v>14.52</v>
          </cell>
          <cell r="K2201">
            <v>15.8887</v>
          </cell>
        </row>
        <row r="2202">
          <cell r="A2202">
            <v>32715</v>
          </cell>
          <cell r="J2202">
            <v>14.43</v>
          </cell>
          <cell r="K2202">
            <v>15.248900000000001</v>
          </cell>
        </row>
        <row r="2203">
          <cell r="A2203">
            <v>32716</v>
          </cell>
          <cell r="J2203">
            <v>14.65</v>
          </cell>
          <cell r="K2203">
            <v>15.8048</v>
          </cell>
        </row>
        <row r="2204">
          <cell r="A2204">
            <v>32717</v>
          </cell>
          <cell r="J2204">
            <v>16.260000000000002</v>
          </cell>
          <cell r="K2204">
            <v>16.195499999999999</v>
          </cell>
        </row>
        <row r="2205">
          <cell r="A2205">
            <v>32720</v>
          </cell>
          <cell r="J2205">
            <v>15.7</v>
          </cell>
          <cell r="K2205">
            <v>16.5946</v>
          </cell>
        </row>
        <row r="2206">
          <cell r="A2206">
            <v>32721</v>
          </cell>
          <cell r="J2206">
            <v>15.28</v>
          </cell>
          <cell r="K2206">
            <v>16.120899999999999</v>
          </cell>
        </row>
        <row r="2207">
          <cell r="A2207">
            <v>32722</v>
          </cell>
          <cell r="J2207">
            <v>15.02</v>
          </cell>
          <cell r="K2207">
            <v>15.9175</v>
          </cell>
        </row>
        <row r="2208">
          <cell r="A2208">
            <v>32723</v>
          </cell>
          <cell r="J2208">
            <v>14.88</v>
          </cell>
          <cell r="K2208">
            <v>15.8956</v>
          </cell>
        </row>
        <row r="2209">
          <cell r="A2209">
            <v>32724</v>
          </cell>
          <cell r="J2209">
            <v>17.41</v>
          </cell>
          <cell r="K2209">
            <v>19.068300000000001</v>
          </cell>
        </row>
        <row r="2210">
          <cell r="A2210">
            <v>32727</v>
          </cell>
          <cell r="J2210">
            <v>19.55</v>
          </cell>
          <cell r="K2210">
            <v>19.155899999999999</v>
          </cell>
        </row>
        <row r="2211">
          <cell r="A2211">
            <v>32728</v>
          </cell>
          <cell r="J2211">
            <v>20.34</v>
          </cell>
          <cell r="K2211">
            <v>18.7362</v>
          </cell>
        </row>
        <row r="2212">
          <cell r="A2212">
            <v>32729</v>
          </cell>
          <cell r="J2212">
            <v>20.190000000000001</v>
          </cell>
          <cell r="K2212">
            <v>18.435199999999998</v>
          </cell>
        </row>
        <row r="2213">
          <cell r="A2213">
            <v>32730</v>
          </cell>
          <cell r="J2213">
            <v>19.09</v>
          </cell>
          <cell r="K2213">
            <v>17.694800000000001</v>
          </cell>
        </row>
        <row r="2214">
          <cell r="A2214">
            <v>32731</v>
          </cell>
          <cell r="J2214">
            <v>18.07</v>
          </cell>
          <cell r="K2214">
            <v>16.860800000000001</v>
          </cell>
        </row>
        <row r="2215">
          <cell r="A2215">
            <v>32734</v>
          </cell>
          <cell r="J2215">
            <v>19.079999999999998</v>
          </cell>
          <cell r="K2215">
            <v>19.125299999999999</v>
          </cell>
        </row>
        <row r="2216">
          <cell r="A2216">
            <v>32735</v>
          </cell>
          <cell r="J2216">
            <v>18.97</v>
          </cell>
          <cell r="K2216">
            <v>21.044599999999999</v>
          </cell>
        </row>
        <row r="2217">
          <cell r="A2217">
            <v>32736</v>
          </cell>
          <cell r="J2217">
            <v>18.059999999999999</v>
          </cell>
          <cell r="K2217">
            <v>20.174399999999999</v>
          </cell>
        </row>
        <row r="2218">
          <cell r="A2218">
            <v>32737</v>
          </cell>
          <cell r="J2218">
            <v>17.440000000000001</v>
          </cell>
          <cell r="K2218">
            <v>19.331399999999999</v>
          </cell>
        </row>
        <row r="2219">
          <cell r="A2219">
            <v>32738</v>
          </cell>
          <cell r="J2219">
            <v>18.07</v>
          </cell>
          <cell r="K2219">
            <v>19.584399999999999</v>
          </cell>
        </row>
        <row r="2220">
          <cell r="A2220">
            <v>32741</v>
          </cell>
          <cell r="J2220">
            <v>17.29</v>
          </cell>
          <cell r="K2220">
            <v>18.48</v>
          </cell>
        </row>
        <row r="2221">
          <cell r="A2221">
            <v>32742</v>
          </cell>
          <cell r="J2221">
            <v>16.57</v>
          </cell>
          <cell r="K2221">
            <v>17.7745</v>
          </cell>
        </row>
        <row r="2222">
          <cell r="A2222">
            <v>32743</v>
          </cell>
          <cell r="J2222">
            <v>16.489999999999998</v>
          </cell>
          <cell r="K2222">
            <v>17.337700000000002</v>
          </cell>
        </row>
        <row r="2223">
          <cell r="A2223">
            <v>32744</v>
          </cell>
          <cell r="J2223">
            <v>16.05</v>
          </cell>
          <cell r="K2223">
            <v>16.522600000000001</v>
          </cell>
        </row>
        <row r="2224">
          <cell r="A2224">
            <v>32745</v>
          </cell>
          <cell r="J2224">
            <v>17.2</v>
          </cell>
          <cell r="K2224">
            <v>16.772099999999998</v>
          </cell>
        </row>
        <row r="2225">
          <cell r="A2225">
            <v>32748</v>
          </cell>
          <cell r="J2225">
            <v>17.37</v>
          </cell>
          <cell r="K2225">
            <v>16.0868</v>
          </cell>
        </row>
        <row r="2226">
          <cell r="A2226">
            <v>32749</v>
          </cell>
          <cell r="J2226">
            <v>17.72</v>
          </cell>
          <cell r="K2226">
            <v>16.4498</v>
          </cell>
        </row>
        <row r="2227">
          <cell r="A2227">
            <v>32750</v>
          </cell>
          <cell r="J2227">
            <v>17.07</v>
          </cell>
          <cell r="K2227">
            <v>15.735900000000001</v>
          </cell>
        </row>
        <row r="2228">
          <cell r="A2228">
            <v>32751</v>
          </cell>
          <cell r="J2228">
            <v>16.46</v>
          </cell>
          <cell r="K2228">
            <v>15.210100000000001</v>
          </cell>
        </row>
        <row r="2229">
          <cell r="A2229">
            <v>32752</v>
          </cell>
          <cell r="J2229">
            <v>16.059999999999999</v>
          </cell>
          <cell r="K2229">
            <v>15.5276</v>
          </cell>
        </row>
        <row r="2230">
          <cell r="A2230">
            <v>32755</v>
          </cell>
          <cell r="J2230">
            <v>15.9</v>
          </cell>
          <cell r="K2230">
            <v>15.128399999999999</v>
          </cell>
        </row>
        <row r="2231">
          <cell r="A2231">
            <v>32756</v>
          </cell>
          <cell r="J2231">
            <v>15.33</v>
          </cell>
          <cell r="K2231">
            <v>14.816700000000001</v>
          </cell>
        </row>
        <row r="2232">
          <cell r="A2232">
            <v>32757</v>
          </cell>
          <cell r="J2232">
            <v>15.4</v>
          </cell>
          <cell r="K2232">
            <v>14.899800000000001</v>
          </cell>
        </row>
        <row r="2233">
          <cell r="A2233">
            <v>32758</v>
          </cell>
          <cell r="J2233">
            <v>14.96</v>
          </cell>
          <cell r="K2233">
            <v>14.538500000000001</v>
          </cell>
        </row>
        <row r="2234">
          <cell r="A2234">
            <v>32759</v>
          </cell>
          <cell r="J2234">
            <v>14.58</v>
          </cell>
          <cell r="K2234">
            <v>14.4779</v>
          </cell>
        </row>
        <row r="2235">
          <cell r="A2235">
            <v>32762</v>
          </cell>
          <cell r="J2235">
            <v>14.24</v>
          </cell>
          <cell r="K2235">
            <v>14.512600000000001</v>
          </cell>
        </row>
        <row r="2236">
          <cell r="A2236">
            <v>32763</v>
          </cell>
          <cell r="J2236">
            <v>14.87</v>
          </cell>
          <cell r="K2236">
            <v>15.9526</v>
          </cell>
        </row>
        <row r="2237">
          <cell r="A2237">
            <v>32764</v>
          </cell>
          <cell r="J2237">
            <v>14.47</v>
          </cell>
          <cell r="K2237">
            <v>15.335000000000001</v>
          </cell>
        </row>
        <row r="2238">
          <cell r="A2238">
            <v>32765</v>
          </cell>
          <cell r="J2238">
            <v>14.16</v>
          </cell>
          <cell r="K2238">
            <v>15.4161</v>
          </cell>
        </row>
        <row r="2239">
          <cell r="A2239">
            <v>32766</v>
          </cell>
          <cell r="J2239">
            <v>14.06</v>
          </cell>
          <cell r="K2239">
            <v>15.424300000000001</v>
          </cell>
        </row>
        <row r="2240">
          <cell r="A2240">
            <v>32769</v>
          </cell>
          <cell r="J2240">
            <v>15.92</v>
          </cell>
          <cell r="K2240">
            <v>17.0044</v>
          </cell>
        </row>
        <row r="2241">
          <cell r="A2241">
            <v>32770</v>
          </cell>
          <cell r="J2241">
            <v>16.760000000000002</v>
          </cell>
          <cell r="K2241">
            <v>16.9681</v>
          </cell>
        </row>
        <row r="2242">
          <cell r="A2242">
            <v>32771</v>
          </cell>
          <cell r="J2242">
            <v>16.28</v>
          </cell>
          <cell r="K2242">
            <v>16.622499999999999</v>
          </cell>
        </row>
        <row r="2243">
          <cell r="A2243">
            <v>32772</v>
          </cell>
          <cell r="J2243">
            <v>15.74</v>
          </cell>
          <cell r="K2243">
            <v>15.838699999999999</v>
          </cell>
        </row>
        <row r="2244">
          <cell r="A2244">
            <v>32773</v>
          </cell>
          <cell r="J2244">
            <v>15.26</v>
          </cell>
          <cell r="K2244">
            <v>15.3622</v>
          </cell>
        </row>
        <row r="2245">
          <cell r="A2245">
            <v>32776</v>
          </cell>
          <cell r="J2245">
            <v>14.81</v>
          </cell>
          <cell r="K2245">
            <v>15.2141</v>
          </cell>
        </row>
        <row r="2246">
          <cell r="A2246">
            <v>32777</v>
          </cell>
          <cell r="J2246">
            <v>17.13</v>
          </cell>
          <cell r="K2246">
            <v>17.238</v>
          </cell>
        </row>
        <row r="2247">
          <cell r="A2247">
            <v>32778</v>
          </cell>
          <cell r="J2247">
            <v>16.97</v>
          </cell>
          <cell r="K2247">
            <v>16.810500000000001</v>
          </cell>
        </row>
        <row r="2248">
          <cell r="A2248">
            <v>32779</v>
          </cell>
          <cell r="J2248">
            <v>16.5</v>
          </cell>
          <cell r="K2248">
            <v>17.631499999999999</v>
          </cell>
        </row>
        <row r="2249">
          <cell r="A2249">
            <v>32780</v>
          </cell>
          <cell r="J2249">
            <v>16.010000000000002</v>
          </cell>
          <cell r="K2249">
            <v>17.668500000000002</v>
          </cell>
        </row>
        <row r="2250">
          <cell r="A2250">
            <v>32783</v>
          </cell>
          <cell r="J2250">
            <v>16.36</v>
          </cell>
          <cell r="K2250">
            <v>17.135200000000001</v>
          </cell>
        </row>
        <row r="2251">
          <cell r="A2251">
            <v>32784</v>
          </cell>
          <cell r="J2251">
            <v>18.68</v>
          </cell>
          <cell r="K2251">
            <v>17.919</v>
          </cell>
        </row>
        <row r="2252">
          <cell r="A2252">
            <v>32785</v>
          </cell>
          <cell r="J2252">
            <v>17.760000000000002</v>
          </cell>
          <cell r="K2252">
            <v>17.116</v>
          </cell>
        </row>
        <row r="2253">
          <cell r="A2253">
            <v>32786</v>
          </cell>
          <cell r="J2253">
            <v>16.89</v>
          </cell>
          <cell r="K2253">
            <v>16.840900000000001</v>
          </cell>
        </row>
        <row r="2254">
          <cell r="A2254">
            <v>32787</v>
          </cell>
          <cell r="J2254">
            <v>16.420000000000002</v>
          </cell>
          <cell r="K2254">
            <v>16.119399999999999</v>
          </cell>
        </row>
        <row r="2255">
          <cell r="A2255">
            <v>32790</v>
          </cell>
          <cell r="J2255">
            <v>15.79</v>
          </cell>
          <cell r="K2255">
            <v>16.060700000000001</v>
          </cell>
        </row>
        <row r="2256">
          <cell r="A2256">
            <v>32791</v>
          </cell>
          <cell r="J2256">
            <v>15.24</v>
          </cell>
          <cell r="K2256">
            <v>17.231300000000001</v>
          </cell>
        </row>
        <row r="2257">
          <cell r="A2257">
            <v>32792</v>
          </cell>
          <cell r="J2257">
            <v>14.79</v>
          </cell>
          <cell r="K2257">
            <v>17.851099999999999</v>
          </cell>
        </row>
        <row r="2258">
          <cell r="A2258">
            <v>32793</v>
          </cell>
          <cell r="J2258">
            <v>21.19</v>
          </cell>
          <cell r="K2258">
            <v>21.513400000000001</v>
          </cell>
        </row>
        <row r="2259">
          <cell r="A2259">
            <v>32794</v>
          </cell>
          <cell r="J2259">
            <v>19.829999999999998</v>
          </cell>
          <cell r="K2259">
            <v>20.197099999999999</v>
          </cell>
        </row>
        <row r="2260">
          <cell r="A2260">
            <v>32797</v>
          </cell>
          <cell r="J2260">
            <v>18.66</v>
          </cell>
          <cell r="K2260">
            <v>21.5852</v>
          </cell>
        </row>
        <row r="2261">
          <cell r="A2261">
            <v>32798</v>
          </cell>
          <cell r="J2261">
            <v>31.47</v>
          </cell>
          <cell r="K2261">
            <v>38.218400000000003</v>
          </cell>
        </row>
        <row r="2262">
          <cell r="A2262">
            <v>32799</v>
          </cell>
          <cell r="J2262">
            <v>28.85</v>
          </cell>
          <cell r="K2262">
            <v>41.007300000000001</v>
          </cell>
        </row>
        <row r="2263">
          <cell r="A2263">
            <v>32800</v>
          </cell>
          <cell r="J2263">
            <v>26.97</v>
          </cell>
          <cell r="K2263">
            <v>38.223199999999999</v>
          </cell>
        </row>
        <row r="2264">
          <cell r="A2264">
            <v>32801</v>
          </cell>
          <cell r="J2264">
            <v>28.27</v>
          </cell>
          <cell r="K2264">
            <v>36.370600000000003</v>
          </cell>
        </row>
        <row r="2265">
          <cell r="A2265">
            <v>32804</v>
          </cell>
          <cell r="J2265">
            <v>27.04</v>
          </cell>
          <cell r="K2265">
            <v>34.328899999999997</v>
          </cell>
        </row>
        <row r="2266">
          <cell r="A2266">
            <v>32805</v>
          </cell>
          <cell r="J2266">
            <v>24.91</v>
          </cell>
          <cell r="K2266">
            <v>31.7105</v>
          </cell>
        </row>
        <row r="2267">
          <cell r="A2267">
            <v>32806</v>
          </cell>
          <cell r="J2267">
            <v>24.66</v>
          </cell>
          <cell r="K2267">
            <v>30.745999999999999</v>
          </cell>
        </row>
        <row r="2268">
          <cell r="A2268">
            <v>32807</v>
          </cell>
          <cell r="J2268">
            <v>23.02</v>
          </cell>
          <cell r="K2268">
            <v>28.9026</v>
          </cell>
        </row>
        <row r="2269">
          <cell r="A2269">
            <v>32808</v>
          </cell>
          <cell r="J2269">
            <v>22.18</v>
          </cell>
          <cell r="K2269">
            <v>28.0671</v>
          </cell>
        </row>
        <row r="2270">
          <cell r="A2270">
            <v>32811</v>
          </cell>
          <cell r="J2270">
            <v>24.58</v>
          </cell>
          <cell r="K2270">
            <v>30.2407</v>
          </cell>
        </row>
        <row r="2271">
          <cell r="A2271">
            <v>32812</v>
          </cell>
          <cell r="J2271">
            <v>23.69</v>
          </cell>
          <cell r="K2271">
            <v>28.583400000000001</v>
          </cell>
        </row>
        <row r="2272">
          <cell r="A2272">
            <v>32813</v>
          </cell>
          <cell r="J2272">
            <v>22.34</v>
          </cell>
          <cell r="K2272">
            <v>26.719000000000001</v>
          </cell>
        </row>
        <row r="2273">
          <cell r="A2273">
            <v>32814</v>
          </cell>
          <cell r="J2273">
            <v>21</v>
          </cell>
          <cell r="K2273">
            <v>24.8901</v>
          </cell>
        </row>
        <row r="2274">
          <cell r="A2274">
            <v>32815</v>
          </cell>
          <cell r="J2274">
            <v>19.75</v>
          </cell>
          <cell r="K2274">
            <v>24.221499999999999</v>
          </cell>
        </row>
        <row r="2275">
          <cell r="A2275">
            <v>32818</v>
          </cell>
          <cell r="J2275">
            <v>19.149999999999999</v>
          </cell>
          <cell r="K2275">
            <v>23.173100000000002</v>
          </cell>
        </row>
        <row r="2276">
          <cell r="A2276">
            <v>32819</v>
          </cell>
          <cell r="J2276">
            <v>21.69</v>
          </cell>
          <cell r="K2276">
            <v>23.330300000000001</v>
          </cell>
        </row>
        <row r="2277">
          <cell r="A2277">
            <v>32820</v>
          </cell>
          <cell r="J2277">
            <v>20.54</v>
          </cell>
          <cell r="K2277">
            <v>22.051500000000001</v>
          </cell>
        </row>
        <row r="2278">
          <cell r="A2278">
            <v>32821</v>
          </cell>
          <cell r="J2278">
            <v>19.57</v>
          </cell>
          <cell r="K2278">
            <v>21.181999999999999</v>
          </cell>
        </row>
        <row r="2279">
          <cell r="A2279">
            <v>32822</v>
          </cell>
          <cell r="J2279">
            <v>18.61</v>
          </cell>
          <cell r="K2279">
            <v>20.1553</v>
          </cell>
        </row>
        <row r="2280">
          <cell r="A2280">
            <v>32825</v>
          </cell>
          <cell r="J2280">
            <v>17.62</v>
          </cell>
          <cell r="K2280">
            <v>19.1814</v>
          </cell>
        </row>
        <row r="2281">
          <cell r="A2281">
            <v>32826</v>
          </cell>
          <cell r="J2281">
            <v>17.32</v>
          </cell>
          <cell r="K2281">
            <v>19.627099999999999</v>
          </cell>
        </row>
        <row r="2282">
          <cell r="A2282">
            <v>32827</v>
          </cell>
          <cell r="J2282">
            <v>16.52</v>
          </cell>
          <cell r="K2282">
            <v>19.250800000000002</v>
          </cell>
        </row>
        <row r="2283">
          <cell r="A2283">
            <v>32828</v>
          </cell>
          <cell r="J2283">
            <v>15.94</v>
          </cell>
          <cell r="K2283">
            <v>18.292100000000001</v>
          </cell>
        </row>
        <row r="2284">
          <cell r="A2284">
            <v>32829</v>
          </cell>
          <cell r="J2284">
            <v>15.67</v>
          </cell>
          <cell r="K2284">
            <v>17.542100000000001</v>
          </cell>
        </row>
        <row r="2285">
          <cell r="A2285">
            <v>32832</v>
          </cell>
          <cell r="J2285">
            <v>15.14</v>
          </cell>
          <cell r="K2285">
            <v>16.8111</v>
          </cell>
        </row>
        <row r="2286">
          <cell r="A2286">
            <v>32833</v>
          </cell>
          <cell r="J2286">
            <v>14.75</v>
          </cell>
          <cell r="K2286">
            <v>17.4436</v>
          </cell>
        </row>
        <row r="2287">
          <cell r="A2287">
            <v>32834</v>
          </cell>
          <cell r="J2287">
            <v>14.38</v>
          </cell>
          <cell r="K2287">
            <v>16.715299999999999</v>
          </cell>
        </row>
        <row r="2288">
          <cell r="A2288">
            <v>32835</v>
          </cell>
          <cell r="J2288">
            <v>14.44</v>
          </cell>
          <cell r="K2288">
            <v>16.1782</v>
          </cell>
        </row>
        <row r="2289">
          <cell r="A2289">
            <v>32836</v>
          </cell>
          <cell r="J2289">
            <v>14.13</v>
          </cell>
          <cell r="K2289">
            <v>15.7399</v>
          </cell>
        </row>
        <row r="2290">
          <cell r="A2290">
            <v>32839</v>
          </cell>
          <cell r="J2290">
            <v>14.71</v>
          </cell>
          <cell r="K2290">
            <v>15.56</v>
          </cell>
        </row>
        <row r="2291">
          <cell r="A2291">
            <v>32840</v>
          </cell>
          <cell r="J2291">
            <v>14.82</v>
          </cell>
          <cell r="K2291">
            <v>15.549099999999999</v>
          </cell>
        </row>
        <row r="2292">
          <cell r="A2292">
            <v>32841</v>
          </cell>
          <cell r="J2292">
            <v>14.72</v>
          </cell>
          <cell r="K2292">
            <v>15.551600000000001</v>
          </cell>
        </row>
        <row r="2293">
          <cell r="A2293">
            <v>32842</v>
          </cell>
          <cell r="J2293">
            <v>15.01</v>
          </cell>
          <cell r="K2293">
            <v>15.386799999999999</v>
          </cell>
        </row>
        <row r="2294">
          <cell r="A2294">
            <v>32843</v>
          </cell>
          <cell r="J2294">
            <v>14.8</v>
          </cell>
          <cell r="K2294">
            <v>15.2972</v>
          </cell>
        </row>
        <row r="2295">
          <cell r="A2295">
            <v>32846</v>
          </cell>
          <cell r="J2295">
            <v>15.83</v>
          </cell>
          <cell r="K2295">
            <v>17.1417</v>
          </cell>
        </row>
        <row r="2296">
          <cell r="A2296">
            <v>32847</v>
          </cell>
          <cell r="J2296">
            <v>16.18</v>
          </cell>
          <cell r="K2296">
            <v>17.321200000000001</v>
          </cell>
        </row>
        <row r="2297">
          <cell r="A2297">
            <v>32848</v>
          </cell>
          <cell r="J2297">
            <v>15.62</v>
          </cell>
          <cell r="K2297">
            <v>17.124199999999998</v>
          </cell>
        </row>
        <row r="2298">
          <cell r="A2298">
            <v>32849</v>
          </cell>
          <cell r="J2298">
            <v>17.36</v>
          </cell>
          <cell r="K2298">
            <v>17.3047</v>
          </cell>
        </row>
        <row r="2299">
          <cell r="A2299">
            <v>32850</v>
          </cell>
          <cell r="J2299">
            <v>16.61</v>
          </cell>
          <cell r="K2299">
            <v>16.677299999999999</v>
          </cell>
        </row>
        <row r="2300">
          <cell r="A2300">
            <v>32853</v>
          </cell>
          <cell r="J2300">
            <v>15.95</v>
          </cell>
          <cell r="K2300">
            <v>16.8306</v>
          </cell>
        </row>
        <row r="2301">
          <cell r="A2301">
            <v>32854</v>
          </cell>
          <cell r="J2301">
            <v>15.52</v>
          </cell>
          <cell r="K2301">
            <v>16.331299999999999</v>
          </cell>
        </row>
        <row r="2302">
          <cell r="A2302">
            <v>32855</v>
          </cell>
          <cell r="J2302">
            <v>15.76</v>
          </cell>
          <cell r="K2302">
            <v>16.041599999999999</v>
          </cell>
        </row>
        <row r="2303">
          <cell r="A2303">
            <v>32856</v>
          </cell>
          <cell r="J2303">
            <v>15.54</v>
          </cell>
          <cell r="K2303">
            <v>15.920299999999999</v>
          </cell>
        </row>
        <row r="2304">
          <cell r="A2304">
            <v>32857</v>
          </cell>
          <cell r="J2304">
            <v>16.27</v>
          </cell>
          <cell r="K2304">
            <v>17.115100000000002</v>
          </cell>
        </row>
        <row r="2305">
          <cell r="A2305">
            <v>32860</v>
          </cell>
          <cell r="J2305">
            <v>15.66</v>
          </cell>
          <cell r="K2305">
            <v>16.421700000000001</v>
          </cell>
        </row>
        <row r="2306">
          <cell r="A2306">
            <v>32861</v>
          </cell>
          <cell r="J2306">
            <v>15.44</v>
          </cell>
          <cell r="K2306">
            <v>16.281500000000001</v>
          </cell>
        </row>
        <row r="2307">
          <cell r="A2307">
            <v>32862</v>
          </cell>
          <cell r="J2307">
            <v>16.940000000000001</v>
          </cell>
          <cell r="K2307">
            <v>17.187100000000001</v>
          </cell>
        </row>
        <row r="2308">
          <cell r="A2308">
            <v>32863</v>
          </cell>
          <cell r="J2308">
            <v>16.28</v>
          </cell>
          <cell r="K2308">
            <v>16.472200000000001</v>
          </cell>
        </row>
        <row r="2309">
          <cell r="A2309">
            <v>32864</v>
          </cell>
          <cell r="J2309">
            <v>18.82</v>
          </cell>
          <cell r="K2309">
            <v>16.635000000000002</v>
          </cell>
        </row>
        <row r="2310">
          <cell r="A2310">
            <v>32867</v>
          </cell>
          <cell r="J2310">
            <v>19.420000000000002</v>
          </cell>
          <cell r="K2310">
            <v>17.002199999999998</v>
          </cell>
        </row>
        <row r="2311">
          <cell r="A2311">
            <v>32868</v>
          </cell>
          <cell r="J2311">
            <v>18.38</v>
          </cell>
          <cell r="K2311">
            <v>16.3748</v>
          </cell>
        </row>
        <row r="2312">
          <cell r="A2312">
            <v>32869</v>
          </cell>
          <cell r="J2312">
            <v>17.46</v>
          </cell>
          <cell r="K2312">
            <v>15.6661</v>
          </cell>
        </row>
        <row r="2313">
          <cell r="A2313">
            <v>32870</v>
          </cell>
          <cell r="J2313">
            <v>17.3</v>
          </cell>
          <cell r="K2313">
            <v>18.142499999999998</v>
          </cell>
        </row>
        <row r="2314">
          <cell r="A2314">
            <v>32871</v>
          </cell>
          <cell r="J2314">
            <v>16.510000000000002</v>
          </cell>
          <cell r="K2314">
            <v>18.402799999999999</v>
          </cell>
        </row>
        <row r="2315">
          <cell r="A2315">
            <v>32874</v>
          </cell>
          <cell r="J2315">
            <v>15.84</v>
          </cell>
          <cell r="K2315">
            <v>17.605699999999999</v>
          </cell>
        </row>
        <row r="2316">
          <cell r="A2316">
            <v>32875</v>
          </cell>
          <cell r="J2316">
            <v>15.36</v>
          </cell>
          <cell r="K2316">
            <v>16.856999999999999</v>
          </cell>
        </row>
        <row r="2317">
          <cell r="A2317">
            <v>32876</v>
          </cell>
          <cell r="J2317">
            <v>15.92</v>
          </cell>
          <cell r="K2317">
            <v>16.786799999999999</v>
          </cell>
        </row>
        <row r="2318">
          <cell r="A2318">
            <v>32877</v>
          </cell>
          <cell r="J2318">
            <v>17.79</v>
          </cell>
          <cell r="K2318">
            <v>19.107500000000002</v>
          </cell>
        </row>
        <row r="2319">
          <cell r="A2319">
            <v>32878</v>
          </cell>
          <cell r="J2319">
            <v>21.82</v>
          </cell>
          <cell r="K2319">
            <v>20.3324</v>
          </cell>
        </row>
        <row r="2320">
          <cell r="A2320">
            <v>32881</v>
          </cell>
          <cell r="J2320">
            <v>20.69</v>
          </cell>
          <cell r="K2320">
            <v>20.119299999999999</v>
          </cell>
        </row>
        <row r="2321">
          <cell r="A2321">
            <v>32882</v>
          </cell>
          <cell r="J2321">
            <v>19.91</v>
          </cell>
          <cell r="K2321">
            <v>20.6113</v>
          </cell>
        </row>
        <row r="2322">
          <cell r="A2322">
            <v>32883</v>
          </cell>
          <cell r="J2322">
            <v>19.05</v>
          </cell>
          <cell r="K2322">
            <v>19.729199999999999</v>
          </cell>
        </row>
        <row r="2323">
          <cell r="A2323">
            <v>32884</v>
          </cell>
          <cell r="J2323">
            <v>17.989999999999998</v>
          </cell>
          <cell r="K2323">
            <v>20.012699999999999</v>
          </cell>
        </row>
        <row r="2324">
          <cell r="A2324">
            <v>32885</v>
          </cell>
          <cell r="J2324">
            <v>17.149999999999999</v>
          </cell>
          <cell r="K2324">
            <v>19.078499999999998</v>
          </cell>
        </row>
        <row r="2325">
          <cell r="A2325">
            <v>32888</v>
          </cell>
          <cell r="J2325">
            <v>17.36</v>
          </cell>
          <cell r="K2325">
            <v>19.955500000000001</v>
          </cell>
        </row>
        <row r="2326">
          <cell r="A2326">
            <v>32889</v>
          </cell>
          <cell r="J2326">
            <v>17.71</v>
          </cell>
          <cell r="K2326">
            <v>20.697800000000001</v>
          </cell>
        </row>
        <row r="2327">
          <cell r="A2327">
            <v>32890</v>
          </cell>
          <cell r="J2327">
            <v>21.09</v>
          </cell>
          <cell r="K2327">
            <v>22.769200000000001</v>
          </cell>
        </row>
        <row r="2328">
          <cell r="A2328">
            <v>32891</v>
          </cell>
          <cell r="J2328">
            <v>21.39</v>
          </cell>
          <cell r="K2328">
            <v>21.74</v>
          </cell>
        </row>
        <row r="2329">
          <cell r="A2329">
            <v>32892</v>
          </cell>
          <cell r="J2329">
            <v>23.26</v>
          </cell>
          <cell r="K2329">
            <v>24.263300000000001</v>
          </cell>
        </row>
        <row r="2330">
          <cell r="A2330">
            <v>32895</v>
          </cell>
          <cell r="J2330">
            <v>22.37</v>
          </cell>
          <cell r="K2330">
            <v>22.874199999999998</v>
          </cell>
        </row>
        <row r="2331">
          <cell r="A2331">
            <v>32896</v>
          </cell>
          <cell r="J2331">
            <v>21.96</v>
          </cell>
          <cell r="K2331">
            <v>23.337900000000001</v>
          </cell>
        </row>
        <row r="2332">
          <cell r="A2332">
            <v>32897</v>
          </cell>
          <cell r="J2332">
            <v>20.49</v>
          </cell>
          <cell r="K2332">
            <v>21.707000000000001</v>
          </cell>
        </row>
        <row r="2333">
          <cell r="A2333">
            <v>32898</v>
          </cell>
          <cell r="J2333">
            <v>19.28</v>
          </cell>
          <cell r="K2333">
            <v>20.476700000000001</v>
          </cell>
        </row>
        <row r="2334">
          <cell r="A2334">
            <v>32899</v>
          </cell>
          <cell r="J2334">
            <v>18.25</v>
          </cell>
          <cell r="K2334">
            <v>19.6753</v>
          </cell>
        </row>
        <row r="2335">
          <cell r="A2335">
            <v>32902</v>
          </cell>
          <cell r="J2335">
            <v>18.12</v>
          </cell>
          <cell r="K2335">
            <v>18.828499999999998</v>
          </cell>
        </row>
        <row r="2336">
          <cell r="A2336">
            <v>32903</v>
          </cell>
          <cell r="J2336">
            <v>19.7</v>
          </cell>
          <cell r="K2336">
            <v>18.835799999999999</v>
          </cell>
        </row>
        <row r="2337">
          <cell r="A2337">
            <v>32904</v>
          </cell>
          <cell r="J2337">
            <v>19.09</v>
          </cell>
          <cell r="K2337">
            <v>18.184699999999999</v>
          </cell>
        </row>
        <row r="2338">
          <cell r="A2338">
            <v>32905</v>
          </cell>
          <cell r="J2338">
            <v>19.53</v>
          </cell>
          <cell r="K2338">
            <v>17.681699999999999</v>
          </cell>
        </row>
        <row r="2339">
          <cell r="A2339">
            <v>32906</v>
          </cell>
          <cell r="J2339">
            <v>18.8</v>
          </cell>
          <cell r="K2339">
            <v>17.371400000000001</v>
          </cell>
        </row>
        <row r="2340">
          <cell r="A2340">
            <v>32909</v>
          </cell>
          <cell r="J2340">
            <v>18.399999999999999</v>
          </cell>
          <cell r="K2340">
            <v>17.525200000000002</v>
          </cell>
        </row>
        <row r="2341">
          <cell r="A2341">
            <v>32910</v>
          </cell>
          <cell r="J2341">
            <v>17.52</v>
          </cell>
          <cell r="K2341">
            <v>17.032</v>
          </cell>
        </row>
        <row r="2342">
          <cell r="A2342">
            <v>32911</v>
          </cell>
          <cell r="J2342">
            <v>16.72</v>
          </cell>
          <cell r="K2342">
            <v>16.515799999999999</v>
          </cell>
        </row>
        <row r="2343">
          <cell r="A2343">
            <v>32912</v>
          </cell>
          <cell r="J2343">
            <v>17.170000000000002</v>
          </cell>
          <cell r="K2343">
            <v>17.440200000000001</v>
          </cell>
        </row>
        <row r="2344">
          <cell r="A2344">
            <v>32913</v>
          </cell>
          <cell r="J2344">
            <v>16.91</v>
          </cell>
          <cell r="K2344">
            <v>16.828199999999999</v>
          </cell>
        </row>
        <row r="2345">
          <cell r="A2345">
            <v>32916</v>
          </cell>
          <cell r="J2345">
            <v>16.940000000000001</v>
          </cell>
          <cell r="K2345">
            <v>17.558900000000001</v>
          </cell>
        </row>
        <row r="2346">
          <cell r="A2346">
            <v>32917</v>
          </cell>
          <cell r="J2346">
            <v>19.12</v>
          </cell>
          <cell r="K2346">
            <v>19.589600000000001</v>
          </cell>
        </row>
        <row r="2347">
          <cell r="A2347">
            <v>32918</v>
          </cell>
          <cell r="J2347">
            <v>21.82</v>
          </cell>
          <cell r="K2347">
            <v>20.0822</v>
          </cell>
        </row>
        <row r="2348">
          <cell r="A2348">
            <v>32919</v>
          </cell>
          <cell r="J2348">
            <v>20.71</v>
          </cell>
          <cell r="K2348">
            <v>19.197299999999998</v>
          </cell>
        </row>
        <row r="2349">
          <cell r="A2349">
            <v>32920</v>
          </cell>
          <cell r="J2349">
            <v>19.63</v>
          </cell>
          <cell r="K2349">
            <v>18.147400000000001</v>
          </cell>
        </row>
        <row r="2350">
          <cell r="A2350">
            <v>32923</v>
          </cell>
          <cell r="J2350">
            <v>18.579999999999998</v>
          </cell>
          <cell r="K2350">
            <v>17.534099999999999</v>
          </cell>
        </row>
        <row r="2351">
          <cell r="A2351">
            <v>32924</v>
          </cell>
          <cell r="J2351">
            <v>19.149999999999999</v>
          </cell>
          <cell r="K2351">
            <v>17.752600000000001</v>
          </cell>
        </row>
        <row r="2352">
          <cell r="A2352">
            <v>32925</v>
          </cell>
          <cell r="J2352">
            <v>19.18</v>
          </cell>
          <cell r="K2352">
            <v>20.770900000000001</v>
          </cell>
        </row>
        <row r="2353">
          <cell r="A2353">
            <v>32926</v>
          </cell>
          <cell r="J2353">
            <v>18.489999999999998</v>
          </cell>
          <cell r="K2353">
            <v>20.055399999999999</v>
          </cell>
        </row>
        <row r="2354">
          <cell r="A2354">
            <v>32927</v>
          </cell>
          <cell r="J2354">
            <v>18.28</v>
          </cell>
          <cell r="K2354">
            <v>19.030899999999999</v>
          </cell>
        </row>
        <row r="2355">
          <cell r="A2355">
            <v>32930</v>
          </cell>
          <cell r="J2355">
            <v>19.899999999999999</v>
          </cell>
          <cell r="K2355">
            <v>21.033799999999999</v>
          </cell>
        </row>
        <row r="2356">
          <cell r="A2356">
            <v>32931</v>
          </cell>
          <cell r="J2356">
            <v>19.53</v>
          </cell>
          <cell r="K2356">
            <v>20.9816</v>
          </cell>
        </row>
        <row r="2357">
          <cell r="A2357">
            <v>32932</v>
          </cell>
          <cell r="J2357">
            <v>18.95</v>
          </cell>
          <cell r="K2357">
            <v>20.1143</v>
          </cell>
        </row>
        <row r="2358">
          <cell r="A2358">
            <v>32933</v>
          </cell>
          <cell r="J2358">
            <v>17.93</v>
          </cell>
          <cell r="K2358">
            <v>18.897600000000001</v>
          </cell>
        </row>
        <row r="2359">
          <cell r="A2359">
            <v>32934</v>
          </cell>
          <cell r="J2359">
            <v>19.850000000000001</v>
          </cell>
          <cell r="K2359">
            <v>20.708100000000002</v>
          </cell>
        </row>
        <row r="2360">
          <cell r="A2360">
            <v>32937</v>
          </cell>
          <cell r="J2360">
            <v>19.940000000000001</v>
          </cell>
          <cell r="K2360">
            <v>19.726800000000001</v>
          </cell>
        </row>
        <row r="2361">
          <cell r="A2361">
            <v>32938</v>
          </cell>
          <cell r="J2361">
            <v>19.46</v>
          </cell>
          <cell r="K2361">
            <v>19.499600000000001</v>
          </cell>
        </row>
        <row r="2362">
          <cell r="A2362">
            <v>32939</v>
          </cell>
          <cell r="J2362">
            <v>18.36</v>
          </cell>
          <cell r="K2362">
            <v>18.707899999999999</v>
          </cell>
        </row>
        <row r="2363">
          <cell r="A2363">
            <v>32940</v>
          </cell>
          <cell r="J2363">
            <v>17.41</v>
          </cell>
          <cell r="K2363">
            <v>17.969200000000001</v>
          </cell>
        </row>
        <row r="2364">
          <cell r="A2364">
            <v>32941</v>
          </cell>
          <cell r="J2364">
            <v>19.100000000000001</v>
          </cell>
          <cell r="K2364">
            <v>17.873999999999999</v>
          </cell>
        </row>
        <row r="2365">
          <cell r="A2365">
            <v>32944</v>
          </cell>
          <cell r="J2365">
            <v>18.07</v>
          </cell>
          <cell r="K2365">
            <v>17.8537</v>
          </cell>
        </row>
        <row r="2366">
          <cell r="A2366">
            <v>32945</v>
          </cell>
          <cell r="J2366">
            <v>18.13</v>
          </cell>
          <cell r="K2366">
            <v>18.0243</v>
          </cell>
        </row>
        <row r="2367">
          <cell r="A2367">
            <v>32946</v>
          </cell>
          <cell r="J2367">
            <v>17.27</v>
          </cell>
          <cell r="K2367">
            <v>17.480599999999999</v>
          </cell>
        </row>
        <row r="2368">
          <cell r="A2368">
            <v>32947</v>
          </cell>
          <cell r="J2368">
            <v>16.91</v>
          </cell>
          <cell r="K2368">
            <v>16.633199999999999</v>
          </cell>
        </row>
        <row r="2369">
          <cell r="A2369">
            <v>32948</v>
          </cell>
          <cell r="J2369">
            <v>16.45</v>
          </cell>
          <cell r="K2369">
            <v>15.9305</v>
          </cell>
        </row>
        <row r="2370">
          <cell r="A2370">
            <v>32951</v>
          </cell>
          <cell r="J2370">
            <v>15.81</v>
          </cell>
          <cell r="K2370">
            <v>16.106000000000002</v>
          </cell>
        </row>
        <row r="2371">
          <cell r="A2371">
            <v>32952</v>
          </cell>
          <cell r="J2371">
            <v>15.74</v>
          </cell>
          <cell r="K2371">
            <v>18.7563</v>
          </cell>
        </row>
        <row r="2372">
          <cell r="A2372">
            <v>32953</v>
          </cell>
          <cell r="J2372">
            <v>16.899999999999999</v>
          </cell>
          <cell r="K2372">
            <v>18.959099999999999</v>
          </cell>
        </row>
        <row r="2373">
          <cell r="A2373">
            <v>32954</v>
          </cell>
          <cell r="J2373">
            <v>16.34</v>
          </cell>
          <cell r="K2373">
            <v>19.266999999999999</v>
          </cell>
        </row>
        <row r="2374">
          <cell r="A2374">
            <v>32955</v>
          </cell>
          <cell r="J2374">
            <v>17.16</v>
          </cell>
          <cell r="K2374">
            <v>19.0166</v>
          </cell>
        </row>
        <row r="2375">
          <cell r="A2375">
            <v>32958</v>
          </cell>
          <cell r="J2375">
            <v>16.86</v>
          </cell>
          <cell r="K2375">
            <v>18.54</v>
          </cell>
        </row>
        <row r="2376">
          <cell r="A2376">
            <v>32959</v>
          </cell>
          <cell r="J2376">
            <v>16.62</v>
          </cell>
          <cell r="K2376">
            <v>17.830300000000001</v>
          </cell>
        </row>
        <row r="2377">
          <cell r="A2377">
            <v>32960</v>
          </cell>
          <cell r="J2377">
            <v>17.14</v>
          </cell>
          <cell r="K2377">
            <v>17.810099999999998</v>
          </cell>
        </row>
        <row r="2378">
          <cell r="A2378">
            <v>32961</v>
          </cell>
          <cell r="J2378">
            <v>16.43</v>
          </cell>
          <cell r="K2378">
            <v>17.047499999999999</v>
          </cell>
        </row>
        <row r="2379">
          <cell r="A2379">
            <v>32962</v>
          </cell>
          <cell r="J2379">
            <v>16.260000000000002</v>
          </cell>
          <cell r="K2379">
            <v>17.316299999999998</v>
          </cell>
        </row>
        <row r="2380">
          <cell r="A2380">
            <v>32965</v>
          </cell>
          <cell r="J2380">
            <v>16.260000000000002</v>
          </cell>
          <cell r="K2380">
            <v>16.695699999999999</v>
          </cell>
        </row>
        <row r="2381">
          <cell r="A2381">
            <v>32966</v>
          </cell>
          <cell r="J2381">
            <v>17.61</v>
          </cell>
          <cell r="K2381">
            <v>19.358000000000001</v>
          </cell>
        </row>
        <row r="2382">
          <cell r="A2382">
            <v>32967</v>
          </cell>
          <cell r="J2382">
            <v>19.34</v>
          </cell>
          <cell r="K2382">
            <v>19.499099999999999</v>
          </cell>
        </row>
        <row r="2383">
          <cell r="A2383">
            <v>32968</v>
          </cell>
          <cell r="J2383">
            <v>18.88</v>
          </cell>
          <cell r="K2383">
            <v>18.785799999999998</v>
          </cell>
        </row>
        <row r="2384">
          <cell r="A2384">
            <v>32969</v>
          </cell>
          <cell r="J2384">
            <v>18.420000000000002</v>
          </cell>
          <cell r="K2384">
            <v>18.4209</v>
          </cell>
        </row>
        <row r="2385">
          <cell r="A2385">
            <v>32972</v>
          </cell>
          <cell r="J2385">
            <v>19.46</v>
          </cell>
          <cell r="K2385">
            <v>18.314699999999998</v>
          </cell>
        </row>
        <row r="2386">
          <cell r="A2386">
            <v>32973</v>
          </cell>
          <cell r="J2386">
            <v>18.649999999999999</v>
          </cell>
          <cell r="K2386">
            <v>18.624400000000001</v>
          </cell>
        </row>
        <row r="2387">
          <cell r="A2387">
            <v>32974</v>
          </cell>
          <cell r="J2387">
            <v>17.89</v>
          </cell>
          <cell r="K2387">
            <v>18.354600000000001</v>
          </cell>
        </row>
        <row r="2388">
          <cell r="A2388">
            <v>32975</v>
          </cell>
          <cell r="J2388">
            <v>18.87</v>
          </cell>
          <cell r="K2388">
            <v>18.178100000000001</v>
          </cell>
        </row>
        <row r="2389">
          <cell r="A2389">
            <v>32976</v>
          </cell>
          <cell r="J2389">
            <v>18.04</v>
          </cell>
          <cell r="K2389">
            <v>17.470500000000001</v>
          </cell>
        </row>
        <row r="2390">
          <cell r="A2390">
            <v>32979</v>
          </cell>
          <cell r="J2390">
            <v>17.25</v>
          </cell>
          <cell r="K2390">
            <v>16.821000000000002</v>
          </cell>
        </row>
        <row r="2391">
          <cell r="A2391">
            <v>32980</v>
          </cell>
          <cell r="J2391">
            <v>16.899999999999999</v>
          </cell>
          <cell r="K2391">
            <v>16.5899</v>
          </cell>
        </row>
        <row r="2392">
          <cell r="A2392">
            <v>32981</v>
          </cell>
          <cell r="J2392">
            <v>16.23</v>
          </cell>
          <cell r="K2392">
            <v>15.9191</v>
          </cell>
        </row>
        <row r="2393">
          <cell r="A2393">
            <v>32982</v>
          </cell>
          <cell r="J2393">
            <v>16.93</v>
          </cell>
          <cell r="K2393">
            <v>16.161000000000001</v>
          </cell>
        </row>
        <row r="2394">
          <cell r="A2394">
            <v>32983</v>
          </cell>
          <cell r="J2394">
            <v>16.23</v>
          </cell>
          <cell r="K2394">
            <v>16.672699999999999</v>
          </cell>
        </row>
        <row r="2395">
          <cell r="A2395">
            <v>32986</v>
          </cell>
          <cell r="J2395">
            <v>16.260000000000002</v>
          </cell>
          <cell r="K2395">
            <v>16.304300000000001</v>
          </cell>
        </row>
        <row r="2396">
          <cell r="A2396">
            <v>32987</v>
          </cell>
          <cell r="J2396">
            <v>21.86</v>
          </cell>
          <cell r="K2396">
            <v>21.7666</v>
          </cell>
        </row>
        <row r="2397">
          <cell r="A2397">
            <v>32988</v>
          </cell>
          <cell r="J2397">
            <v>20.420000000000002</v>
          </cell>
          <cell r="K2397">
            <v>20.725000000000001</v>
          </cell>
        </row>
        <row r="2398">
          <cell r="A2398">
            <v>32989</v>
          </cell>
          <cell r="J2398">
            <v>19.16</v>
          </cell>
          <cell r="K2398">
            <v>19.617999999999999</v>
          </cell>
        </row>
        <row r="2399">
          <cell r="A2399">
            <v>32990</v>
          </cell>
          <cell r="J2399">
            <v>18.28</v>
          </cell>
          <cell r="K2399">
            <v>18.7989</v>
          </cell>
        </row>
        <row r="2400">
          <cell r="A2400">
            <v>32993</v>
          </cell>
          <cell r="J2400">
            <v>17.79</v>
          </cell>
          <cell r="K2400">
            <v>19.523499999999999</v>
          </cell>
        </row>
        <row r="2401">
          <cell r="A2401">
            <v>32994</v>
          </cell>
          <cell r="J2401">
            <v>17.670000000000002</v>
          </cell>
          <cell r="K2401">
            <v>18.666499999999999</v>
          </cell>
        </row>
        <row r="2402">
          <cell r="A2402">
            <v>32995</v>
          </cell>
          <cell r="J2402">
            <v>16.96</v>
          </cell>
          <cell r="K2402">
            <v>17.698699999999999</v>
          </cell>
        </row>
        <row r="2403">
          <cell r="A2403">
            <v>32996</v>
          </cell>
          <cell r="J2403">
            <v>16.350000000000001</v>
          </cell>
          <cell r="K2403">
            <v>17.027999999999999</v>
          </cell>
        </row>
        <row r="2404">
          <cell r="A2404">
            <v>32997</v>
          </cell>
          <cell r="J2404">
            <v>17.690000000000001</v>
          </cell>
          <cell r="K2404">
            <v>16.787400000000002</v>
          </cell>
        </row>
        <row r="2405">
          <cell r="A2405">
            <v>33000</v>
          </cell>
          <cell r="J2405">
            <v>16.93</v>
          </cell>
          <cell r="K2405">
            <v>17.159500000000001</v>
          </cell>
        </row>
        <row r="2406">
          <cell r="A2406">
            <v>33001</v>
          </cell>
          <cell r="J2406">
            <v>17.2</v>
          </cell>
          <cell r="K2406">
            <v>17.436499999999999</v>
          </cell>
        </row>
        <row r="2407">
          <cell r="A2407">
            <v>33002</v>
          </cell>
          <cell r="J2407">
            <v>16.66</v>
          </cell>
          <cell r="K2407">
            <v>16.791799999999999</v>
          </cell>
        </row>
        <row r="2408">
          <cell r="A2408">
            <v>33003</v>
          </cell>
          <cell r="J2408">
            <v>16.010000000000002</v>
          </cell>
          <cell r="K2408">
            <v>16.188700000000001</v>
          </cell>
        </row>
        <row r="2409">
          <cell r="A2409">
            <v>33004</v>
          </cell>
          <cell r="J2409">
            <v>15.53</v>
          </cell>
          <cell r="K2409">
            <v>16.263999999999999</v>
          </cell>
        </row>
        <row r="2410">
          <cell r="A2410">
            <v>33007</v>
          </cell>
          <cell r="J2410">
            <v>15.26</v>
          </cell>
          <cell r="K2410">
            <v>16.328800000000001</v>
          </cell>
        </row>
        <row r="2411">
          <cell r="A2411">
            <v>33008</v>
          </cell>
          <cell r="J2411">
            <v>15.68</v>
          </cell>
          <cell r="K2411">
            <v>16.776800000000001</v>
          </cell>
        </row>
        <row r="2412">
          <cell r="A2412">
            <v>33009</v>
          </cell>
          <cell r="J2412">
            <v>16.16</v>
          </cell>
          <cell r="K2412">
            <v>16.564499999999999</v>
          </cell>
        </row>
        <row r="2413">
          <cell r="A2413">
            <v>33010</v>
          </cell>
          <cell r="J2413">
            <v>15.66</v>
          </cell>
          <cell r="K2413">
            <v>16.084399999999999</v>
          </cell>
        </row>
        <row r="2414">
          <cell r="A2414">
            <v>33011</v>
          </cell>
          <cell r="J2414">
            <v>15.65</v>
          </cell>
          <cell r="K2414">
            <v>17.921800000000001</v>
          </cell>
        </row>
        <row r="2415">
          <cell r="A2415">
            <v>33014</v>
          </cell>
          <cell r="J2415">
            <v>15.21</v>
          </cell>
          <cell r="K2415">
            <v>18.1934</v>
          </cell>
        </row>
        <row r="2416">
          <cell r="A2416">
            <v>33015</v>
          </cell>
          <cell r="J2416">
            <v>16.079999999999998</v>
          </cell>
          <cell r="K2416">
            <v>18.816500000000001</v>
          </cell>
        </row>
        <row r="2417">
          <cell r="A2417">
            <v>33016</v>
          </cell>
          <cell r="J2417">
            <v>15.48</v>
          </cell>
          <cell r="K2417">
            <v>18.677600000000002</v>
          </cell>
        </row>
        <row r="2418">
          <cell r="A2418">
            <v>33017</v>
          </cell>
          <cell r="J2418">
            <v>15.16</v>
          </cell>
          <cell r="K2418">
            <v>18.187899999999999</v>
          </cell>
        </row>
        <row r="2419">
          <cell r="A2419">
            <v>33018</v>
          </cell>
          <cell r="J2419">
            <v>14.99</v>
          </cell>
          <cell r="K2419">
            <v>17.868600000000001</v>
          </cell>
        </row>
        <row r="2420">
          <cell r="A2420">
            <v>33021</v>
          </cell>
          <cell r="J2420">
            <v>16.37</v>
          </cell>
          <cell r="K2420">
            <v>18.946899999999999</v>
          </cell>
        </row>
        <row r="2421">
          <cell r="A2421">
            <v>33022</v>
          </cell>
          <cell r="J2421">
            <v>15.74</v>
          </cell>
          <cell r="K2421">
            <v>18.022200000000002</v>
          </cell>
        </row>
        <row r="2422">
          <cell r="A2422">
            <v>33023</v>
          </cell>
          <cell r="J2422">
            <v>15.59</v>
          </cell>
          <cell r="K2422">
            <v>18.2212</v>
          </cell>
        </row>
        <row r="2423">
          <cell r="A2423">
            <v>33024</v>
          </cell>
          <cell r="J2423">
            <v>15.78</v>
          </cell>
          <cell r="K2423">
            <v>18.184999999999999</v>
          </cell>
        </row>
        <row r="2424">
          <cell r="A2424">
            <v>33025</v>
          </cell>
          <cell r="J2424">
            <v>17.440000000000001</v>
          </cell>
          <cell r="K2424">
            <v>18.9999</v>
          </cell>
        </row>
        <row r="2425">
          <cell r="A2425">
            <v>33028</v>
          </cell>
          <cell r="J2425">
            <v>17.22</v>
          </cell>
          <cell r="K2425">
            <v>18.634799999999998</v>
          </cell>
        </row>
        <row r="2426">
          <cell r="A2426">
            <v>33029</v>
          </cell>
          <cell r="J2426">
            <v>17.440000000000001</v>
          </cell>
          <cell r="K2426">
            <v>18.578299999999999</v>
          </cell>
        </row>
        <row r="2427">
          <cell r="A2427">
            <v>33030</v>
          </cell>
          <cell r="J2427">
            <v>17.440000000000001</v>
          </cell>
          <cell r="K2427">
            <v>18.6556</v>
          </cell>
        </row>
        <row r="2428">
          <cell r="A2428">
            <v>33031</v>
          </cell>
          <cell r="J2428">
            <v>17.46</v>
          </cell>
          <cell r="K2428">
            <v>18.547799999999999</v>
          </cell>
        </row>
        <row r="2429">
          <cell r="A2429">
            <v>33032</v>
          </cell>
          <cell r="J2429">
            <v>16.670000000000002</v>
          </cell>
          <cell r="K2429">
            <v>18.059999999999999</v>
          </cell>
        </row>
        <row r="2430">
          <cell r="A2430">
            <v>33035</v>
          </cell>
          <cell r="J2430">
            <v>18.25</v>
          </cell>
          <cell r="K2430">
            <v>19.225100000000001</v>
          </cell>
        </row>
        <row r="2431">
          <cell r="A2431">
            <v>33036</v>
          </cell>
          <cell r="J2431">
            <v>18.21</v>
          </cell>
          <cell r="K2431">
            <v>18.792000000000002</v>
          </cell>
        </row>
        <row r="2432">
          <cell r="A2432">
            <v>33037</v>
          </cell>
          <cell r="J2432">
            <v>17.29</v>
          </cell>
          <cell r="K2432">
            <v>18.122599999999998</v>
          </cell>
        </row>
        <row r="2433">
          <cell r="A2433">
            <v>33038</v>
          </cell>
          <cell r="J2433">
            <v>16.829999999999998</v>
          </cell>
          <cell r="K2433">
            <v>18.590199999999999</v>
          </cell>
        </row>
        <row r="2434">
          <cell r="A2434">
            <v>33039</v>
          </cell>
          <cell r="J2434">
            <v>16.12</v>
          </cell>
          <cell r="K2434">
            <v>17.8934</v>
          </cell>
        </row>
        <row r="2435">
          <cell r="A2435">
            <v>33042</v>
          </cell>
          <cell r="J2435">
            <v>17.55</v>
          </cell>
          <cell r="K2435">
            <v>18.480799999999999</v>
          </cell>
        </row>
        <row r="2436">
          <cell r="A2436">
            <v>33043</v>
          </cell>
          <cell r="J2436">
            <v>17.12</v>
          </cell>
          <cell r="K2436">
            <v>18.6157</v>
          </cell>
        </row>
        <row r="2437">
          <cell r="A2437">
            <v>33044</v>
          </cell>
          <cell r="J2437">
            <v>16.82</v>
          </cell>
          <cell r="K2437">
            <v>18.026800000000001</v>
          </cell>
        </row>
        <row r="2438">
          <cell r="A2438">
            <v>33045</v>
          </cell>
          <cell r="J2438">
            <v>16.239999999999998</v>
          </cell>
          <cell r="K2438">
            <v>17.4177</v>
          </cell>
        </row>
        <row r="2439">
          <cell r="A2439">
            <v>33046</v>
          </cell>
          <cell r="J2439">
            <v>15.62</v>
          </cell>
          <cell r="K2439">
            <v>16.6601</v>
          </cell>
        </row>
        <row r="2440">
          <cell r="A2440">
            <v>33049</v>
          </cell>
          <cell r="J2440">
            <v>16.18</v>
          </cell>
          <cell r="K2440">
            <v>16.144300000000001</v>
          </cell>
        </row>
        <row r="2441">
          <cell r="A2441">
            <v>33050</v>
          </cell>
          <cell r="J2441">
            <v>15.67</v>
          </cell>
          <cell r="K2441">
            <v>15.5566</v>
          </cell>
        </row>
        <row r="2442">
          <cell r="A2442">
            <v>33051</v>
          </cell>
          <cell r="J2442">
            <v>15.14</v>
          </cell>
          <cell r="K2442">
            <v>15.0875</v>
          </cell>
        </row>
        <row r="2443">
          <cell r="A2443">
            <v>33052</v>
          </cell>
          <cell r="J2443">
            <v>14.72</v>
          </cell>
          <cell r="K2443">
            <v>14.8896</v>
          </cell>
        </row>
        <row r="2444">
          <cell r="A2444">
            <v>33053</v>
          </cell>
          <cell r="J2444">
            <v>14.74</v>
          </cell>
          <cell r="K2444">
            <v>15.327999999999999</v>
          </cell>
        </row>
        <row r="2445">
          <cell r="A2445">
            <v>33056</v>
          </cell>
          <cell r="J2445">
            <v>14.4</v>
          </cell>
          <cell r="K2445">
            <v>15.568199999999999</v>
          </cell>
        </row>
        <row r="2446">
          <cell r="A2446">
            <v>33057</v>
          </cell>
          <cell r="J2446">
            <v>14.17</v>
          </cell>
          <cell r="K2446">
            <v>15.5253</v>
          </cell>
        </row>
        <row r="2447">
          <cell r="A2447">
            <v>33058</v>
          </cell>
          <cell r="J2447">
            <v>13.91</v>
          </cell>
          <cell r="K2447">
            <v>14.9565</v>
          </cell>
        </row>
        <row r="2448">
          <cell r="A2448">
            <v>33059</v>
          </cell>
          <cell r="J2448">
            <v>14.03</v>
          </cell>
          <cell r="K2448">
            <v>15.2074</v>
          </cell>
        </row>
        <row r="2449">
          <cell r="A2449">
            <v>33060</v>
          </cell>
          <cell r="J2449">
            <v>15.31</v>
          </cell>
          <cell r="K2449">
            <v>16.407800000000002</v>
          </cell>
        </row>
        <row r="2450">
          <cell r="A2450">
            <v>33063</v>
          </cell>
          <cell r="J2450">
            <v>14.98</v>
          </cell>
          <cell r="K2450">
            <v>15.763</v>
          </cell>
        </row>
        <row r="2451">
          <cell r="A2451">
            <v>33064</v>
          </cell>
          <cell r="J2451">
            <v>14.86</v>
          </cell>
          <cell r="K2451">
            <v>15.327400000000001</v>
          </cell>
        </row>
        <row r="2452">
          <cell r="A2452">
            <v>33065</v>
          </cell>
          <cell r="J2452">
            <v>15.86</v>
          </cell>
          <cell r="K2452">
            <v>15.8111</v>
          </cell>
        </row>
        <row r="2453">
          <cell r="A2453">
            <v>33066</v>
          </cell>
          <cell r="J2453">
            <v>15.36</v>
          </cell>
          <cell r="K2453">
            <v>15.2597</v>
          </cell>
        </row>
        <row r="2454">
          <cell r="A2454">
            <v>33067</v>
          </cell>
          <cell r="J2454">
            <v>15.44</v>
          </cell>
          <cell r="K2454">
            <v>15.366099999999999</v>
          </cell>
        </row>
        <row r="2455">
          <cell r="A2455">
            <v>33070</v>
          </cell>
          <cell r="J2455">
            <v>17.63</v>
          </cell>
          <cell r="K2455">
            <v>16.7196</v>
          </cell>
        </row>
        <row r="2456">
          <cell r="A2456">
            <v>33071</v>
          </cell>
          <cell r="J2456">
            <v>16.8</v>
          </cell>
          <cell r="K2456">
            <v>16.046399999999998</v>
          </cell>
        </row>
        <row r="2457">
          <cell r="A2457">
            <v>33072</v>
          </cell>
          <cell r="J2457">
            <v>16.100000000000001</v>
          </cell>
          <cell r="K2457">
            <v>15.568199999999999</v>
          </cell>
        </row>
        <row r="2458">
          <cell r="A2458">
            <v>33073</v>
          </cell>
          <cell r="J2458">
            <v>15.83</v>
          </cell>
          <cell r="K2458">
            <v>15.398</v>
          </cell>
        </row>
        <row r="2459">
          <cell r="A2459">
            <v>33074</v>
          </cell>
          <cell r="J2459">
            <v>15.55</v>
          </cell>
          <cell r="K2459">
            <v>15.3895</v>
          </cell>
        </row>
        <row r="2460">
          <cell r="A2460">
            <v>33077</v>
          </cell>
          <cell r="J2460">
            <v>15.05</v>
          </cell>
          <cell r="K2460">
            <v>15.259</v>
          </cell>
        </row>
        <row r="2461">
          <cell r="A2461">
            <v>33078</v>
          </cell>
          <cell r="J2461">
            <v>17.62</v>
          </cell>
          <cell r="K2461">
            <v>17.636199999999999</v>
          </cell>
        </row>
        <row r="2462">
          <cell r="A2462">
            <v>33079</v>
          </cell>
          <cell r="J2462">
            <v>17.149999999999999</v>
          </cell>
          <cell r="K2462">
            <v>17.077999999999999</v>
          </cell>
        </row>
        <row r="2463">
          <cell r="A2463">
            <v>33080</v>
          </cell>
          <cell r="J2463">
            <v>16.39</v>
          </cell>
          <cell r="K2463">
            <v>16.3766</v>
          </cell>
        </row>
        <row r="2464">
          <cell r="A2464">
            <v>33081</v>
          </cell>
          <cell r="J2464">
            <v>16.5</v>
          </cell>
          <cell r="K2464">
            <v>16.337399999999999</v>
          </cell>
        </row>
        <row r="2465">
          <cell r="A2465">
            <v>33084</v>
          </cell>
          <cell r="J2465">
            <v>16.66</v>
          </cell>
          <cell r="K2465">
            <v>16.253</v>
          </cell>
        </row>
        <row r="2466">
          <cell r="A2466">
            <v>33085</v>
          </cell>
          <cell r="J2466">
            <v>16.059999999999999</v>
          </cell>
          <cell r="K2466">
            <v>15.5831</v>
          </cell>
        </row>
        <row r="2467">
          <cell r="A2467">
            <v>33086</v>
          </cell>
          <cell r="J2467">
            <v>17.010000000000002</v>
          </cell>
          <cell r="K2467">
            <v>16.104900000000001</v>
          </cell>
        </row>
        <row r="2468">
          <cell r="A2468">
            <v>33087</v>
          </cell>
          <cell r="J2468">
            <v>16.34</v>
          </cell>
          <cell r="K2468">
            <v>15.714</v>
          </cell>
        </row>
        <row r="2469">
          <cell r="A2469">
            <v>33088</v>
          </cell>
          <cell r="J2469">
            <v>22.49</v>
          </cell>
          <cell r="K2469">
            <v>19.9604</v>
          </cell>
        </row>
        <row r="2470">
          <cell r="A2470">
            <v>33091</v>
          </cell>
          <cell r="J2470">
            <v>23.93</v>
          </cell>
          <cell r="K2470">
            <v>21.6051</v>
          </cell>
        </row>
        <row r="2471">
          <cell r="A2471">
            <v>33092</v>
          </cell>
          <cell r="J2471">
            <v>30.48</v>
          </cell>
          <cell r="K2471">
            <v>26.709299999999999</v>
          </cell>
        </row>
        <row r="2472">
          <cell r="A2472">
            <v>33093</v>
          </cell>
          <cell r="J2472">
            <v>28.53</v>
          </cell>
          <cell r="K2472">
            <v>24.895199999999999</v>
          </cell>
        </row>
        <row r="2473">
          <cell r="A2473">
            <v>33094</v>
          </cell>
          <cell r="J2473">
            <v>35.380000000000003</v>
          </cell>
          <cell r="K2473">
            <v>28.8018</v>
          </cell>
        </row>
        <row r="2474">
          <cell r="A2474">
            <v>33095</v>
          </cell>
          <cell r="J2474">
            <v>32.869999999999997</v>
          </cell>
          <cell r="K2474">
            <v>26.732399999999998</v>
          </cell>
        </row>
        <row r="2475">
          <cell r="A2475">
            <v>33098</v>
          </cell>
          <cell r="J2475">
            <v>30.19</v>
          </cell>
          <cell r="K2475">
            <v>25.208600000000001</v>
          </cell>
        </row>
        <row r="2476">
          <cell r="A2476">
            <v>33099</v>
          </cell>
          <cell r="J2476">
            <v>29.54</v>
          </cell>
          <cell r="K2476">
            <v>24.0762</v>
          </cell>
        </row>
        <row r="2477">
          <cell r="A2477">
            <v>33100</v>
          </cell>
          <cell r="J2477">
            <v>27.75</v>
          </cell>
          <cell r="K2477">
            <v>22.690999999999999</v>
          </cell>
        </row>
        <row r="2478">
          <cell r="A2478">
            <v>33101</v>
          </cell>
          <cell r="J2478">
            <v>25.83</v>
          </cell>
          <cell r="K2478">
            <v>21.824100000000001</v>
          </cell>
        </row>
        <row r="2479">
          <cell r="A2479">
            <v>33102</v>
          </cell>
          <cell r="J2479">
            <v>23.88</v>
          </cell>
          <cell r="K2479">
            <v>20.9894</v>
          </cell>
        </row>
        <row r="2480">
          <cell r="A2480">
            <v>33105</v>
          </cell>
          <cell r="J2480">
            <v>27.51</v>
          </cell>
          <cell r="K2480">
            <v>23.751100000000001</v>
          </cell>
        </row>
        <row r="2481">
          <cell r="A2481">
            <v>33106</v>
          </cell>
          <cell r="J2481">
            <v>33.15</v>
          </cell>
          <cell r="K2481">
            <v>25.687200000000001</v>
          </cell>
        </row>
        <row r="2482">
          <cell r="A2482">
            <v>33107</v>
          </cell>
          <cell r="J2482">
            <v>35.85</v>
          </cell>
          <cell r="K2482">
            <v>29.643699999999999</v>
          </cell>
        </row>
        <row r="2483">
          <cell r="A2483">
            <v>33108</v>
          </cell>
          <cell r="J2483">
            <v>34.28</v>
          </cell>
          <cell r="K2483">
            <v>28.517800000000001</v>
          </cell>
        </row>
        <row r="2484">
          <cell r="A2484">
            <v>33109</v>
          </cell>
          <cell r="J2484">
            <v>31.96</v>
          </cell>
          <cell r="K2484">
            <v>29.136299999999999</v>
          </cell>
        </row>
        <row r="2485">
          <cell r="A2485">
            <v>33112</v>
          </cell>
          <cell r="J2485">
            <v>32.99</v>
          </cell>
          <cell r="K2485">
            <v>28.733899999999998</v>
          </cell>
        </row>
        <row r="2486">
          <cell r="A2486">
            <v>33113</v>
          </cell>
          <cell r="J2486">
            <v>37.54</v>
          </cell>
          <cell r="K2486">
            <v>32.112299999999998</v>
          </cell>
        </row>
        <row r="2487">
          <cell r="A2487">
            <v>33114</v>
          </cell>
          <cell r="J2487">
            <v>34.380000000000003</v>
          </cell>
          <cell r="K2487">
            <v>30.047000000000001</v>
          </cell>
        </row>
        <row r="2488">
          <cell r="A2488">
            <v>33115</v>
          </cell>
          <cell r="J2488">
            <v>31.36</v>
          </cell>
          <cell r="K2488">
            <v>27.874099999999999</v>
          </cell>
        </row>
        <row r="2489">
          <cell r="A2489">
            <v>33116</v>
          </cell>
          <cell r="J2489">
            <v>28.71</v>
          </cell>
          <cell r="K2489">
            <v>26.211500000000001</v>
          </cell>
        </row>
        <row r="2490">
          <cell r="A2490">
            <v>33119</v>
          </cell>
          <cell r="J2490">
            <v>29.61</v>
          </cell>
          <cell r="K2490">
            <v>26.5154</v>
          </cell>
        </row>
        <row r="2491">
          <cell r="A2491">
            <v>33120</v>
          </cell>
          <cell r="J2491">
            <v>32.119999999999997</v>
          </cell>
          <cell r="K2491">
            <v>26.959299999999999</v>
          </cell>
        </row>
        <row r="2492">
          <cell r="A2492">
            <v>33121</v>
          </cell>
          <cell r="J2492">
            <v>30.19</v>
          </cell>
          <cell r="K2492">
            <v>25.714600000000001</v>
          </cell>
        </row>
        <row r="2493">
          <cell r="A2493">
            <v>33122</v>
          </cell>
          <cell r="J2493">
            <v>28.93</v>
          </cell>
          <cell r="K2493">
            <v>24.805499999999999</v>
          </cell>
        </row>
        <row r="2494">
          <cell r="A2494">
            <v>33123</v>
          </cell>
          <cell r="J2494">
            <v>28.72</v>
          </cell>
          <cell r="K2494">
            <v>24.5289</v>
          </cell>
        </row>
        <row r="2495">
          <cell r="A2495">
            <v>33126</v>
          </cell>
          <cell r="J2495">
            <v>26.38</v>
          </cell>
          <cell r="K2495">
            <v>23.221900000000002</v>
          </cell>
        </row>
        <row r="2496">
          <cell r="A2496">
            <v>33127</v>
          </cell>
          <cell r="J2496">
            <v>25.37</v>
          </cell>
          <cell r="K2496">
            <v>21.9679</v>
          </cell>
        </row>
        <row r="2497">
          <cell r="A2497">
            <v>33128</v>
          </cell>
          <cell r="J2497">
            <v>24.9</v>
          </cell>
          <cell r="K2497">
            <v>23.166799999999999</v>
          </cell>
        </row>
        <row r="2498">
          <cell r="A2498">
            <v>33129</v>
          </cell>
          <cell r="J2498">
            <v>23.04</v>
          </cell>
          <cell r="K2498">
            <v>22.303999999999998</v>
          </cell>
        </row>
        <row r="2499">
          <cell r="A2499">
            <v>33130</v>
          </cell>
          <cell r="J2499">
            <v>22.12</v>
          </cell>
          <cell r="K2499">
            <v>22.382899999999999</v>
          </cell>
        </row>
        <row r="2500">
          <cell r="A2500">
            <v>33133</v>
          </cell>
          <cell r="J2500">
            <v>20.81</v>
          </cell>
          <cell r="K2500">
            <v>21.221599999999999</v>
          </cell>
        </row>
        <row r="2501">
          <cell r="A2501">
            <v>33134</v>
          </cell>
          <cell r="J2501">
            <v>19.55</v>
          </cell>
          <cell r="K2501">
            <v>20.6099</v>
          </cell>
        </row>
        <row r="2502">
          <cell r="A2502">
            <v>33135</v>
          </cell>
          <cell r="J2502">
            <v>19.260000000000002</v>
          </cell>
          <cell r="K2502">
            <v>19.811699999999998</v>
          </cell>
        </row>
        <row r="2503">
          <cell r="A2503">
            <v>33136</v>
          </cell>
          <cell r="J2503">
            <v>21.72</v>
          </cell>
          <cell r="K2503">
            <v>22.56</v>
          </cell>
        </row>
        <row r="2504">
          <cell r="A2504">
            <v>33137</v>
          </cell>
          <cell r="J2504">
            <v>26.33</v>
          </cell>
          <cell r="K2504">
            <v>27.249199999999998</v>
          </cell>
        </row>
        <row r="2505">
          <cell r="A2505">
            <v>33140</v>
          </cell>
          <cell r="J2505">
            <v>24.31</v>
          </cell>
          <cell r="K2505">
            <v>26.2666</v>
          </cell>
        </row>
        <row r="2506">
          <cell r="A2506">
            <v>33141</v>
          </cell>
          <cell r="J2506">
            <v>25.12</v>
          </cell>
          <cell r="K2506">
            <v>26.008500000000002</v>
          </cell>
        </row>
        <row r="2507">
          <cell r="A2507">
            <v>33142</v>
          </cell>
          <cell r="J2507">
            <v>23.63</v>
          </cell>
          <cell r="K2507">
            <v>26.912600000000001</v>
          </cell>
        </row>
        <row r="2508">
          <cell r="A2508">
            <v>33143</v>
          </cell>
          <cell r="J2508">
            <v>22.48</v>
          </cell>
          <cell r="K2508">
            <v>25.515699999999999</v>
          </cell>
        </row>
        <row r="2509">
          <cell r="A2509">
            <v>33144</v>
          </cell>
          <cell r="J2509">
            <v>23.38</v>
          </cell>
          <cell r="K2509">
            <v>24.122900000000001</v>
          </cell>
        </row>
        <row r="2510">
          <cell r="A2510">
            <v>33147</v>
          </cell>
          <cell r="J2510">
            <v>23.18</v>
          </cell>
          <cell r="K2510">
            <v>25.701599999999999</v>
          </cell>
        </row>
        <row r="2511">
          <cell r="A2511">
            <v>33148</v>
          </cell>
          <cell r="J2511">
            <v>28.38</v>
          </cell>
          <cell r="K2511">
            <v>31.891300000000001</v>
          </cell>
        </row>
        <row r="2512">
          <cell r="A2512">
            <v>33149</v>
          </cell>
          <cell r="J2512">
            <v>26.73</v>
          </cell>
          <cell r="K2512">
            <v>29.965399999999999</v>
          </cell>
        </row>
        <row r="2513">
          <cell r="A2513">
            <v>33150</v>
          </cell>
          <cell r="J2513">
            <v>24.63</v>
          </cell>
          <cell r="K2513">
            <v>27.877600000000001</v>
          </cell>
        </row>
        <row r="2514">
          <cell r="A2514">
            <v>33151</v>
          </cell>
          <cell r="J2514">
            <v>23.06</v>
          </cell>
          <cell r="K2514">
            <v>26.369900000000001</v>
          </cell>
        </row>
        <row r="2515">
          <cell r="A2515">
            <v>33154</v>
          </cell>
          <cell r="J2515">
            <v>21.63</v>
          </cell>
          <cell r="K2515">
            <v>26.375499999999999</v>
          </cell>
        </row>
        <row r="2516">
          <cell r="A2516">
            <v>33155</v>
          </cell>
          <cell r="J2516">
            <v>22.78</v>
          </cell>
          <cell r="K2516">
            <v>30.8048</v>
          </cell>
        </row>
        <row r="2517">
          <cell r="A2517">
            <v>33156</v>
          </cell>
          <cell r="J2517">
            <v>23.11</v>
          </cell>
          <cell r="K2517">
            <v>31.241499999999998</v>
          </cell>
        </row>
        <row r="2518">
          <cell r="A2518">
            <v>33157</v>
          </cell>
          <cell r="J2518">
            <v>22.29</v>
          </cell>
          <cell r="K2518">
            <v>30.443100000000001</v>
          </cell>
        </row>
        <row r="2519">
          <cell r="A2519">
            <v>33158</v>
          </cell>
          <cell r="J2519">
            <v>21.01</v>
          </cell>
          <cell r="K2519">
            <v>29.0305</v>
          </cell>
        </row>
        <row r="2520">
          <cell r="A2520">
            <v>33161</v>
          </cell>
          <cell r="J2520">
            <v>23.16</v>
          </cell>
          <cell r="K2520">
            <v>28.469000000000001</v>
          </cell>
        </row>
        <row r="2521">
          <cell r="A2521">
            <v>33162</v>
          </cell>
          <cell r="J2521">
            <v>21.92</v>
          </cell>
          <cell r="K2521">
            <v>26.679099999999998</v>
          </cell>
        </row>
        <row r="2522">
          <cell r="A2522">
            <v>33163</v>
          </cell>
          <cell r="J2522">
            <v>20.47</v>
          </cell>
          <cell r="K2522">
            <v>25.102399999999999</v>
          </cell>
        </row>
        <row r="2523">
          <cell r="A2523">
            <v>33164</v>
          </cell>
          <cell r="J2523">
            <v>19.82</v>
          </cell>
          <cell r="K2523">
            <v>23.826000000000001</v>
          </cell>
        </row>
        <row r="2524">
          <cell r="A2524">
            <v>33165</v>
          </cell>
          <cell r="J2524">
            <v>19.850000000000001</v>
          </cell>
          <cell r="K2524">
            <v>23.0349</v>
          </cell>
        </row>
        <row r="2525">
          <cell r="A2525">
            <v>33168</v>
          </cell>
          <cell r="J2525">
            <v>18.68</v>
          </cell>
          <cell r="K2525">
            <v>22.087299999999999</v>
          </cell>
        </row>
        <row r="2526">
          <cell r="A2526">
            <v>33169</v>
          </cell>
          <cell r="J2526">
            <v>18.66</v>
          </cell>
          <cell r="K2526">
            <v>21.093599999999999</v>
          </cell>
        </row>
        <row r="2527">
          <cell r="A2527">
            <v>33170</v>
          </cell>
          <cell r="J2527">
            <v>18.96</v>
          </cell>
          <cell r="K2527">
            <v>20.233599999999999</v>
          </cell>
        </row>
        <row r="2528">
          <cell r="A2528">
            <v>33171</v>
          </cell>
          <cell r="J2528">
            <v>17.97</v>
          </cell>
          <cell r="K2528">
            <v>20.385300000000001</v>
          </cell>
        </row>
        <row r="2529">
          <cell r="A2529">
            <v>33172</v>
          </cell>
          <cell r="J2529">
            <v>18.43</v>
          </cell>
          <cell r="K2529">
            <v>20.3813</v>
          </cell>
        </row>
        <row r="2530">
          <cell r="A2530">
            <v>33175</v>
          </cell>
          <cell r="J2530">
            <v>20.23</v>
          </cell>
          <cell r="K2530">
            <v>22.711300000000001</v>
          </cell>
        </row>
        <row r="2531">
          <cell r="A2531">
            <v>33176</v>
          </cell>
          <cell r="J2531">
            <v>19</v>
          </cell>
          <cell r="K2531">
            <v>21.574999999999999</v>
          </cell>
        </row>
        <row r="2532">
          <cell r="A2532">
            <v>33177</v>
          </cell>
          <cell r="J2532">
            <v>20.88</v>
          </cell>
          <cell r="K2532">
            <v>23.109000000000002</v>
          </cell>
        </row>
        <row r="2533">
          <cell r="A2533">
            <v>33178</v>
          </cell>
          <cell r="J2533">
            <v>21.98</v>
          </cell>
          <cell r="K2533">
            <v>22.383500000000002</v>
          </cell>
        </row>
        <row r="2534">
          <cell r="A2534">
            <v>33179</v>
          </cell>
          <cell r="J2534">
            <v>20.56</v>
          </cell>
          <cell r="K2534">
            <v>21.424800000000001</v>
          </cell>
        </row>
        <row r="2535">
          <cell r="A2535">
            <v>33182</v>
          </cell>
          <cell r="J2535">
            <v>19.73</v>
          </cell>
          <cell r="K2535">
            <v>20.336600000000001</v>
          </cell>
        </row>
        <row r="2536">
          <cell r="A2536">
            <v>33183</v>
          </cell>
          <cell r="J2536">
            <v>18.57</v>
          </cell>
          <cell r="K2536">
            <v>19.4831</v>
          </cell>
        </row>
        <row r="2537">
          <cell r="A2537">
            <v>33184</v>
          </cell>
          <cell r="J2537">
            <v>17.73</v>
          </cell>
          <cell r="K2537">
            <v>19.0823</v>
          </cell>
        </row>
        <row r="2538">
          <cell r="A2538">
            <v>33185</v>
          </cell>
          <cell r="J2538">
            <v>18.18</v>
          </cell>
          <cell r="K2538">
            <v>19.7956</v>
          </cell>
        </row>
        <row r="2539">
          <cell r="A2539">
            <v>33186</v>
          </cell>
          <cell r="J2539">
            <v>20.58</v>
          </cell>
          <cell r="K2539">
            <v>21.369800000000001</v>
          </cell>
        </row>
        <row r="2540">
          <cell r="A2540">
            <v>33189</v>
          </cell>
          <cell r="J2540">
            <v>19.5</v>
          </cell>
          <cell r="K2540">
            <v>20.945499999999999</v>
          </cell>
        </row>
        <row r="2541">
          <cell r="A2541">
            <v>33190</v>
          </cell>
          <cell r="J2541">
            <v>19.46</v>
          </cell>
          <cell r="K2541">
            <v>20.835899999999999</v>
          </cell>
        </row>
        <row r="2542">
          <cell r="A2542">
            <v>33191</v>
          </cell>
          <cell r="J2542">
            <v>18.63</v>
          </cell>
          <cell r="K2542">
            <v>19.6005</v>
          </cell>
        </row>
        <row r="2543">
          <cell r="A2543">
            <v>33192</v>
          </cell>
          <cell r="J2543">
            <v>18.440000000000001</v>
          </cell>
          <cell r="K2543">
            <v>19.226800000000001</v>
          </cell>
        </row>
        <row r="2544">
          <cell r="A2544">
            <v>33193</v>
          </cell>
          <cell r="J2544">
            <v>17.72</v>
          </cell>
          <cell r="K2544">
            <v>18.354199999999999</v>
          </cell>
        </row>
        <row r="2545">
          <cell r="A2545">
            <v>33196</v>
          </cell>
          <cell r="J2545">
            <v>17.559999999999999</v>
          </cell>
          <cell r="K2545">
            <v>17.545000000000002</v>
          </cell>
        </row>
        <row r="2546">
          <cell r="A2546">
            <v>33197</v>
          </cell>
          <cell r="J2546">
            <v>17.25</v>
          </cell>
          <cell r="K2546">
            <v>17.718499999999999</v>
          </cell>
        </row>
        <row r="2547">
          <cell r="A2547">
            <v>33198</v>
          </cell>
          <cell r="J2547">
            <v>17.07</v>
          </cell>
          <cell r="K2547">
            <v>17.383800000000001</v>
          </cell>
        </row>
        <row r="2548">
          <cell r="A2548">
            <v>33199</v>
          </cell>
          <cell r="J2548">
            <v>17.010000000000002</v>
          </cell>
          <cell r="K2548">
            <v>16.9163</v>
          </cell>
        </row>
        <row r="2549">
          <cell r="A2549">
            <v>33200</v>
          </cell>
          <cell r="J2549">
            <v>16.36</v>
          </cell>
          <cell r="K2549">
            <v>16.523</v>
          </cell>
        </row>
        <row r="2550">
          <cell r="A2550">
            <v>33203</v>
          </cell>
          <cell r="J2550">
            <v>16</v>
          </cell>
          <cell r="K2550">
            <v>17.0778</v>
          </cell>
        </row>
        <row r="2551">
          <cell r="A2551">
            <v>33204</v>
          </cell>
          <cell r="J2551">
            <v>19.22</v>
          </cell>
          <cell r="K2551">
            <v>18.431899999999999</v>
          </cell>
        </row>
        <row r="2552">
          <cell r="A2552">
            <v>33205</v>
          </cell>
          <cell r="J2552">
            <v>18.14</v>
          </cell>
          <cell r="K2552">
            <v>17.797899999999998</v>
          </cell>
        </row>
        <row r="2553">
          <cell r="A2553">
            <v>33206</v>
          </cell>
          <cell r="J2553">
            <v>17.27</v>
          </cell>
          <cell r="K2553">
            <v>17.3413</v>
          </cell>
        </row>
        <row r="2554">
          <cell r="A2554">
            <v>33207</v>
          </cell>
          <cell r="J2554">
            <v>16.63</v>
          </cell>
          <cell r="K2554">
            <v>16.9162</v>
          </cell>
        </row>
        <row r="2555">
          <cell r="A2555">
            <v>33210</v>
          </cell>
          <cell r="J2555">
            <v>17.059999999999999</v>
          </cell>
          <cell r="K2555">
            <v>16.802</v>
          </cell>
        </row>
        <row r="2556">
          <cell r="A2556">
            <v>33211</v>
          </cell>
          <cell r="J2556">
            <v>17.940000000000001</v>
          </cell>
          <cell r="K2556">
            <v>16.541499999999999</v>
          </cell>
        </row>
        <row r="2557">
          <cell r="A2557">
            <v>33212</v>
          </cell>
          <cell r="J2557">
            <v>17.14</v>
          </cell>
          <cell r="K2557">
            <v>16.470800000000001</v>
          </cell>
        </row>
        <row r="2558">
          <cell r="A2558">
            <v>33213</v>
          </cell>
          <cell r="J2558">
            <v>16.739999999999998</v>
          </cell>
          <cell r="K2558">
            <v>16.0501</v>
          </cell>
        </row>
        <row r="2559">
          <cell r="A2559">
            <v>33214</v>
          </cell>
          <cell r="J2559">
            <v>18.420000000000002</v>
          </cell>
          <cell r="K2559">
            <v>16.524899999999999</v>
          </cell>
        </row>
        <row r="2560">
          <cell r="A2560">
            <v>33217</v>
          </cell>
          <cell r="J2560">
            <v>17.559999999999999</v>
          </cell>
          <cell r="K2560">
            <v>15.8544</v>
          </cell>
        </row>
        <row r="2561">
          <cell r="A2561">
            <v>33218</v>
          </cell>
          <cell r="J2561">
            <v>16.93</v>
          </cell>
          <cell r="K2561">
            <v>15.819900000000001</v>
          </cell>
        </row>
        <row r="2562">
          <cell r="A2562">
            <v>33219</v>
          </cell>
          <cell r="J2562">
            <v>17.28</v>
          </cell>
          <cell r="K2562">
            <v>17.460999999999999</v>
          </cell>
        </row>
        <row r="2563">
          <cell r="A2563">
            <v>33220</v>
          </cell>
          <cell r="J2563">
            <v>16.93</v>
          </cell>
          <cell r="K2563">
            <v>17.4815</v>
          </cell>
        </row>
        <row r="2564">
          <cell r="A2564">
            <v>33221</v>
          </cell>
          <cell r="J2564">
            <v>16.66</v>
          </cell>
          <cell r="K2564">
            <v>17.020399999999999</v>
          </cell>
        </row>
        <row r="2565">
          <cell r="A2565">
            <v>33224</v>
          </cell>
          <cell r="J2565">
            <v>20.399999999999999</v>
          </cell>
          <cell r="K2565">
            <v>18.5563</v>
          </cell>
        </row>
        <row r="2566">
          <cell r="A2566">
            <v>33225</v>
          </cell>
          <cell r="J2566">
            <v>22.5</v>
          </cell>
          <cell r="K2566">
            <v>19.5808</v>
          </cell>
        </row>
        <row r="2567">
          <cell r="A2567">
            <v>33226</v>
          </cell>
          <cell r="J2567">
            <v>21.47</v>
          </cell>
          <cell r="K2567">
            <v>18.625900000000001</v>
          </cell>
        </row>
        <row r="2568">
          <cell r="A2568">
            <v>33227</v>
          </cell>
          <cell r="J2568">
            <v>20.100000000000001</v>
          </cell>
          <cell r="K2568">
            <v>18.160299999999999</v>
          </cell>
        </row>
        <row r="2569">
          <cell r="A2569">
            <v>33228</v>
          </cell>
          <cell r="J2569">
            <v>23.6</v>
          </cell>
          <cell r="K2569">
            <v>22.593900000000001</v>
          </cell>
        </row>
        <row r="2570">
          <cell r="A2570">
            <v>33231</v>
          </cell>
          <cell r="J2570">
            <v>25.65</v>
          </cell>
          <cell r="K2570">
            <v>23.521699999999999</v>
          </cell>
        </row>
        <row r="2571">
          <cell r="A2571">
            <v>33232</v>
          </cell>
          <cell r="J2571">
            <v>24.64</v>
          </cell>
          <cell r="K2571">
            <v>23.2547</v>
          </cell>
        </row>
        <row r="2572">
          <cell r="A2572">
            <v>33233</v>
          </cell>
          <cell r="J2572">
            <v>22.87</v>
          </cell>
          <cell r="K2572">
            <v>21.704799999999999</v>
          </cell>
        </row>
        <row r="2573">
          <cell r="A2573">
            <v>33234</v>
          </cell>
          <cell r="J2573">
            <v>21.55</v>
          </cell>
          <cell r="K2573">
            <v>20.9528</v>
          </cell>
        </row>
        <row r="2574">
          <cell r="A2574">
            <v>33235</v>
          </cell>
          <cell r="J2574">
            <v>20.5</v>
          </cell>
          <cell r="K2574">
            <v>19.966999999999999</v>
          </cell>
        </row>
        <row r="2575">
          <cell r="A2575">
            <v>33238</v>
          </cell>
          <cell r="J2575">
            <v>20.329999999999998</v>
          </cell>
          <cell r="K2575">
            <v>19.156199999999998</v>
          </cell>
        </row>
        <row r="2576">
          <cell r="A2576">
            <v>33239</v>
          </cell>
          <cell r="J2576">
            <v>19.11</v>
          </cell>
          <cell r="K2576">
            <v>18.108699999999999</v>
          </cell>
        </row>
        <row r="2577">
          <cell r="A2577">
            <v>33240</v>
          </cell>
          <cell r="J2577">
            <v>18.11</v>
          </cell>
          <cell r="K2577">
            <v>17.2486</v>
          </cell>
        </row>
        <row r="2578">
          <cell r="A2578">
            <v>33241</v>
          </cell>
          <cell r="J2578">
            <v>17.48</v>
          </cell>
          <cell r="K2578">
            <v>17.0108</v>
          </cell>
        </row>
        <row r="2579">
          <cell r="A2579">
            <v>33242</v>
          </cell>
          <cell r="J2579">
            <v>18.53</v>
          </cell>
          <cell r="K2579">
            <v>17.1692</v>
          </cell>
        </row>
        <row r="2580">
          <cell r="A2580">
            <v>33245</v>
          </cell>
          <cell r="J2580">
            <v>17.86</v>
          </cell>
          <cell r="K2580">
            <v>16.7437</v>
          </cell>
        </row>
        <row r="2581">
          <cell r="A2581">
            <v>33246</v>
          </cell>
          <cell r="J2581">
            <v>29.01</v>
          </cell>
          <cell r="K2581">
            <v>25.9773</v>
          </cell>
        </row>
        <row r="2582">
          <cell r="A2582">
            <v>33247</v>
          </cell>
          <cell r="J2582">
            <v>26.79</v>
          </cell>
          <cell r="K2582">
            <v>24.462900000000001</v>
          </cell>
        </row>
        <row r="2583">
          <cell r="A2583">
            <v>33248</v>
          </cell>
          <cell r="J2583">
            <v>30.67</v>
          </cell>
          <cell r="K2583">
            <v>25.2636</v>
          </cell>
        </row>
        <row r="2584">
          <cell r="A2584">
            <v>33249</v>
          </cell>
          <cell r="J2584">
            <v>34.340000000000003</v>
          </cell>
          <cell r="K2584">
            <v>27.188700000000001</v>
          </cell>
        </row>
        <row r="2585">
          <cell r="A2585">
            <v>33252</v>
          </cell>
          <cell r="J2585">
            <v>32.270000000000003</v>
          </cell>
          <cell r="K2585">
            <v>25.8004</v>
          </cell>
        </row>
        <row r="2586">
          <cell r="A2586">
            <v>33253</v>
          </cell>
          <cell r="J2586">
            <v>36.549999999999997</v>
          </cell>
          <cell r="K2586">
            <v>28.6769</v>
          </cell>
        </row>
        <row r="2587">
          <cell r="A2587">
            <v>33254</v>
          </cell>
          <cell r="J2587">
            <v>33.44</v>
          </cell>
          <cell r="K2587">
            <v>27.386700000000001</v>
          </cell>
        </row>
        <row r="2588">
          <cell r="A2588">
            <v>33255</v>
          </cell>
          <cell r="J2588">
            <v>30.57</v>
          </cell>
          <cell r="K2588">
            <v>25.503900000000002</v>
          </cell>
        </row>
        <row r="2589">
          <cell r="A2589">
            <v>33256</v>
          </cell>
          <cell r="J2589">
            <v>48.4</v>
          </cell>
          <cell r="K2589">
            <v>37.026699999999998</v>
          </cell>
        </row>
        <row r="2590">
          <cell r="A2590">
            <v>33259</v>
          </cell>
          <cell r="J2590">
            <v>43.8</v>
          </cell>
          <cell r="K2590">
            <v>33.921599999999998</v>
          </cell>
        </row>
        <row r="2591">
          <cell r="A2591">
            <v>33260</v>
          </cell>
          <cell r="J2591">
            <v>39.74</v>
          </cell>
          <cell r="K2591">
            <v>31.160900000000002</v>
          </cell>
        </row>
        <row r="2592">
          <cell r="A2592">
            <v>33261</v>
          </cell>
          <cell r="J2592">
            <v>36.15</v>
          </cell>
          <cell r="K2592">
            <v>28.970700000000001</v>
          </cell>
        </row>
        <row r="2593">
          <cell r="A2593">
            <v>33262</v>
          </cell>
          <cell r="J2593">
            <v>34.83</v>
          </cell>
          <cell r="K2593">
            <v>27.700099999999999</v>
          </cell>
        </row>
        <row r="2594">
          <cell r="A2594">
            <v>33263</v>
          </cell>
          <cell r="J2594">
            <v>33.97</v>
          </cell>
          <cell r="K2594">
            <v>26.929600000000001</v>
          </cell>
        </row>
        <row r="2595">
          <cell r="A2595">
            <v>33266</v>
          </cell>
          <cell r="J2595">
            <v>31.2</v>
          </cell>
          <cell r="K2595">
            <v>25.014099999999999</v>
          </cell>
        </row>
        <row r="2596">
          <cell r="A2596">
            <v>33267</v>
          </cell>
          <cell r="J2596">
            <v>28.82</v>
          </cell>
          <cell r="K2596">
            <v>23.389800000000001</v>
          </cell>
        </row>
        <row r="2597">
          <cell r="A2597">
            <v>33268</v>
          </cell>
          <cell r="J2597">
            <v>27.23</v>
          </cell>
          <cell r="K2597">
            <v>22.377500000000001</v>
          </cell>
        </row>
        <row r="2598">
          <cell r="A2598">
            <v>33269</v>
          </cell>
          <cell r="J2598">
            <v>25.43</v>
          </cell>
          <cell r="K2598">
            <v>21.222100000000001</v>
          </cell>
        </row>
        <row r="2599">
          <cell r="A2599">
            <v>33270</v>
          </cell>
          <cell r="J2599">
            <v>23.63</v>
          </cell>
          <cell r="K2599">
            <v>21.0335</v>
          </cell>
        </row>
        <row r="2600">
          <cell r="A2600">
            <v>33273</v>
          </cell>
          <cell r="J2600">
            <v>22.15</v>
          </cell>
          <cell r="K2600">
            <v>19.7532</v>
          </cell>
        </row>
        <row r="2601">
          <cell r="A2601">
            <v>33274</v>
          </cell>
          <cell r="J2601">
            <v>20.66</v>
          </cell>
          <cell r="K2601">
            <v>19.211300000000001</v>
          </cell>
        </row>
        <row r="2602">
          <cell r="A2602">
            <v>33275</v>
          </cell>
          <cell r="J2602">
            <v>20.88</v>
          </cell>
          <cell r="K2602">
            <v>19.003499999999999</v>
          </cell>
        </row>
        <row r="2603">
          <cell r="A2603">
            <v>33276</v>
          </cell>
          <cell r="J2603">
            <v>19.670000000000002</v>
          </cell>
          <cell r="K2603">
            <v>18.009899999999998</v>
          </cell>
        </row>
        <row r="2604">
          <cell r="A2604">
            <v>33277</v>
          </cell>
          <cell r="J2604">
            <v>18.54</v>
          </cell>
          <cell r="K2604">
            <v>18.518000000000001</v>
          </cell>
        </row>
        <row r="2605">
          <cell r="A2605">
            <v>33280</v>
          </cell>
          <cell r="J2605">
            <v>18.43</v>
          </cell>
          <cell r="K2605">
            <v>17.762699999999999</v>
          </cell>
        </row>
        <row r="2606">
          <cell r="A2606">
            <v>33281</v>
          </cell>
          <cell r="J2606">
            <v>18.079999999999998</v>
          </cell>
          <cell r="K2606">
            <v>20.724299999999999</v>
          </cell>
        </row>
        <row r="2607">
          <cell r="A2607">
            <v>33282</v>
          </cell>
          <cell r="J2607">
            <v>18.14</v>
          </cell>
          <cell r="K2607">
            <v>20.908799999999999</v>
          </cell>
        </row>
        <row r="2608">
          <cell r="A2608">
            <v>33283</v>
          </cell>
          <cell r="J2608">
            <v>17.25</v>
          </cell>
          <cell r="K2608">
            <v>19.6081</v>
          </cell>
        </row>
        <row r="2609">
          <cell r="A2609">
            <v>33284</v>
          </cell>
          <cell r="J2609">
            <v>16.690000000000001</v>
          </cell>
          <cell r="K2609">
            <v>18.6282</v>
          </cell>
        </row>
        <row r="2610">
          <cell r="A2610">
            <v>33287</v>
          </cell>
          <cell r="J2610">
            <v>15.99</v>
          </cell>
          <cell r="K2610">
            <v>17.7486</v>
          </cell>
        </row>
        <row r="2611">
          <cell r="A2611">
            <v>33288</v>
          </cell>
          <cell r="J2611">
            <v>15.76</v>
          </cell>
          <cell r="K2611">
            <v>17.3371</v>
          </cell>
        </row>
        <row r="2612">
          <cell r="A2612">
            <v>33289</v>
          </cell>
          <cell r="J2612">
            <v>15.24</v>
          </cell>
          <cell r="K2612">
            <v>17.447299999999998</v>
          </cell>
        </row>
        <row r="2613">
          <cell r="A2613">
            <v>33290</v>
          </cell>
          <cell r="J2613">
            <v>16.45</v>
          </cell>
          <cell r="K2613">
            <v>19.466799999999999</v>
          </cell>
        </row>
        <row r="2614">
          <cell r="A2614">
            <v>33291</v>
          </cell>
          <cell r="J2614">
            <v>16.47</v>
          </cell>
          <cell r="K2614">
            <v>18.614899999999999</v>
          </cell>
        </row>
        <row r="2615">
          <cell r="A2615">
            <v>33294</v>
          </cell>
          <cell r="J2615">
            <v>15.86</v>
          </cell>
          <cell r="K2615">
            <v>17.580400000000001</v>
          </cell>
        </row>
        <row r="2616">
          <cell r="A2616">
            <v>33295</v>
          </cell>
          <cell r="J2616">
            <v>15.37</v>
          </cell>
          <cell r="K2616">
            <v>16.8582</v>
          </cell>
        </row>
        <row r="2617">
          <cell r="A2617">
            <v>33296</v>
          </cell>
          <cell r="J2617">
            <v>19.98</v>
          </cell>
          <cell r="K2617">
            <v>21.081399999999999</v>
          </cell>
        </row>
        <row r="2618">
          <cell r="A2618">
            <v>33297</v>
          </cell>
          <cell r="J2618">
            <v>19.239999999999998</v>
          </cell>
          <cell r="K2618">
            <v>20.104600000000001</v>
          </cell>
        </row>
        <row r="2619">
          <cell r="A2619">
            <v>33298</v>
          </cell>
          <cell r="J2619">
            <v>19.71</v>
          </cell>
          <cell r="K2619">
            <v>19.7029</v>
          </cell>
        </row>
        <row r="2620">
          <cell r="A2620">
            <v>33301</v>
          </cell>
          <cell r="J2620">
            <v>20.9</v>
          </cell>
          <cell r="K2620">
            <v>21.401499999999999</v>
          </cell>
        </row>
        <row r="2621">
          <cell r="A2621">
            <v>33302</v>
          </cell>
          <cell r="J2621">
            <v>19.739999999999998</v>
          </cell>
          <cell r="K2621">
            <v>20.052299999999999</v>
          </cell>
        </row>
        <row r="2622">
          <cell r="A2622">
            <v>33303</v>
          </cell>
          <cell r="J2622">
            <v>22.13</v>
          </cell>
          <cell r="K2622">
            <v>21.013999999999999</v>
          </cell>
        </row>
        <row r="2623">
          <cell r="A2623">
            <v>33304</v>
          </cell>
          <cell r="J2623">
            <v>20.74</v>
          </cell>
          <cell r="K2623">
            <v>19.881699999999999</v>
          </cell>
        </row>
        <row r="2624">
          <cell r="A2624">
            <v>33305</v>
          </cell>
          <cell r="J2624">
            <v>19.45</v>
          </cell>
          <cell r="K2624">
            <v>18.8416</v>
          </cell>
        </row>
        <row r="2625">
          <cell r="A2625">
            <v>33308</v>
          </cell>
          <cell r="J2625">
            <v>18.79</v>
          </cell>
          <cell r="K2625">
            <v>18.1052</v>
          </cell>
        </row>
        <row r="2626">
          <cell r="A2626">
            <v>33309</v>
          </cell>
          <cell r="J2626">
            <v>25.1</v>
          </cell>
          <cell r="K2626">
            <v>22.3764</v>
          </cell>
        </row>
        <row r="2627">
          <cell r="A2627">
            <v>33310</v>
          </cell>
          <cell r="J2627">
            <v>23.27</v>
          </cell>
          <cell r="K2627">
            <v>20.9389</v>
          </cell>
        </row>
        <row r="2628">
          <cell r="A2628">
            <v>33311</v>
          </cell>
          <cell r="J2628">
            <v>23.68</v>
          </cell>
          <cell r="K2628">
            <v>20.974499999999999</v>
          </cell>
        </row>
        <row r="2629">
          <cell r="A2629">
            <v>33312</v>
          </cell>
          <cell r="J2629">
            <v>23.83</v>
          </cell>
          <cell r="K2629">
            <v>21.1191</v>
          </cell>
        </row>
        <row r="2630">
          <cell r="A2630">
            <v>33315</v>
          </cell>
          <cell r="J2630">
            <v>25</v>
          </cell>
          <cell r="K2630">
            <v>21.912800000000001</v>
          </cell>
        </row>
        <row r="2631">
          <cell r="A2631">
            <v>33316</v>
          </cell>
          <cell r="J2631">
            <v>28.6</v>
          </cell>
          <cell r="K2631">
            <v>25.0961</v>
          </cell>
        </row>
        <row r="2632">
          <cell r="A2632">
            <v>33317</v>
          </cell>
          <cell r="J2632">
            <v>35.020000000000003</v>
          </cell>
          <cell r="K2632">
            <v>30.5274</v>
          </cell>
        </row>
        <row r="2633">
          <cell r="A2633">
            <v>33318</v>
          </cell>
          <cell r="J2633">
            <v>32.07</v>
          </cell>
          <cell r="K2633">
            <v>28.3325</v>
          </cell>
        </row>
        <row r="2634">
          <cell r="A2634">
            <v>33319</v>
          </cell>
          <cell r="J2634">
            <v>31.66</v>
          </cell>
          <cell r="K2634">
            <v>28.059799999999999</v>
          </cell>
        </row>
        <row r="2635">
          <cell r="A2635">
            <v>33322</v>
          </cell>
          <cell r="J2635">
            <v>29.7</v>
          </cell>
          <cell r="K2635">
            <v>27.827100000000002</v>
          </cell>
        </row>
        <row r="2636">
          <cell r="A2636">
            <v>33323</v>
          </cell>
          <cell r="J2636">
            <v>28.67</v>
          </cell>
          <cell r="K2636">
            <v>26.868300000000001</v>
          </cell>
        </row>
        <row r="2637">
          <cell r="A2637">
            <v>33324</v>
          </cell>
          <cell r="J2637">
            <v>27.49</v>
          </cell>
          <cell r="K2637">
            <v>25.768000000000001</v>
          </cell>
        </row>
        <row r="2638">
          <cell r="A2638">
            <v>33325</v>
          </cell>
          <cell r="J2638">
            <v>25.31</v>
          </cell>
          <cell r="K2638">
            <v>23.878599999999999</v>
          </cell>
        </row>
        <row r="2639">
          <cell r="A2639">
            <v>33326</v>
          </cell>
          <cell r="J2639">
            <v>23.48</v>
          </cell>
          <cell r="K2639">
            <v>22.585799999999999</v>
          </cell>
        </row>
        <row r="2640">
          <cell r="A2640">
            <v>33329</v>
          </cell>
          <cell r="J2640">
            <v>22.14</v>
          </cell>
          <cell r="K2640">
            <v>21.210100000000001</v>
          </cell>
        </row>
        <row r="2641">
          <cell r="A2641">
            <v>33330</v>
          </cell>
          <cell r="J2641">
            <v>20.67</v>
          </cell>
          <cell r="K2641">
            <v>19.8614</v>
          </cell>
        </row>
        <row r="2642">
          <cell r="A2642">
            <v>33331</v>
          </cell>
          <cell r="J2642">
            <v>19.559999999999999</v>
          </cell>
          <cell r="K2642">
            <v>19.225300000000001</v>
          </cell>
        </row>
        <row r="2643">
          <cell r="A2643">
            <v>33332</v>
          </cell>
          <cell r="J2643">
            <v>21.4</v>
          </cell>
          <cell r="K2643">
            <v>20.6843</v>
          </cell>
        </row>
        <row r="2644">
          <cell r="A2644">
            <v>33333</v>
          </cell>
          <cell r="J2644">
            <v>20.87</v>
          </cell>
          <cell r="K2644">
            <v>19.915099999999999</v>
          </cell>
        </row>
        <row r="2645">
          <cell r="A2645">
            <v>33336</v>
          </cell>
          <cell r="J2645">
            <v>21.47</v>
          </cell>
          <cell r="K2645">
            <v>19.456299999999999</v>
          </cell>
        </row>
        <row r="2646">
          <cell r="A2646">
            <v>33337</v>
          </cell>
          <cell r="J2646">
            <v>23.41</v>
          </cell>
          <cell r="K2646">
            <v>21.758199999999999</v>
          </cell>
        </row>
        <row r="2647">
          <cell r="A2647">
            <v>33338</v>
          </cell>
          <cell r="J2647">
            <v>21.75</v>
          </cell>
          <cell r="K2647">
            <v>20.472799999999999</v>
          </cell>
        </row>
        <row r="2648">
          <cell r="A2648">
            <v>33339</v>
          </cell>
          <cell r="J2648">
            <v>21.38</v>
          </cell>
          <cell r="K2648">
            <v>19.918800000000001</v>
          </cell>
        </row>
        <row r="2649">
          <cell r="A2649">
            <v>33340</v>
          </cell>
          <cell r="J2649">
            <v>20.059999999999999</v>
          </cell>
          <cell r="K2649">
            <v>18.7532</v>
          </cell>
        </row>
        <row r="2650">
          <cell r="A2650">
            <v>33343</v>
          </cell>
          <cell r="J2650">
            <v>18.86</v>
          </cell>
          <cell r="K2650">
            <v>17.814800000000002</v>
          </cell>
        </row>
        <row r="2651">
          <cell r="A2651">
            <v>33344</v>
          </cell>
          <cell r="J2651">
            <v>17.829999999999998</v>
          </cell>
          <cell r="K2651">
            <v>17.8645</v>
          </cell>
        </row>
        <row r="2652">
          <cell r="A2652">
            <v>33345</v>
          </cell>
          <cell r="J2652">
            <v>18.23</v>
          </cell>
          <cell r="K2652">
            <v>18.199300000000001</v>
          </cell>
        </row>
        <row r="2653">
          <cell r="A2653">
            <v>33346</v>
          </cell>
          <cell r="J2653">
            <v>18.39</v>
          </cell>
          <cell r="K2653">
            <v>17.908999999999999</v>
          </cell>
        </row>
        <row r="2654">
          <cell r="A2654">
            <v>33347</v>
          </cell>
          <cell r="J2654">
            <v>19.739999999999998</v>
          </cell>
          <cell r="K2654">
            <v>18.738399999999999</v>
          </cell>
        </row>
        <row r="2655">
          <cell r="A2655">
            <v>33350</v>
          </cell>
          <cell r="J2655">
            <v>28.29</v>
          </cell>
          <cell r="K2655">
            <v>26.4421</v>
          </cell>
        </row>
        <row r="2656">
          <cell r="A2656">
            <v>33351</v>
          </cell>
          <cell r="J2656">
            <v>31.07</v>
          </cell>
          <cell r="K2656">
            <v>30.1555</v>
          </cell>
        </row>
        <row r="2657">
          <cell r="A2657">
            <v>33352</v>
          </cell>
          <cell r="J2657">
            <v>28.63</v>
          </cell>
          <cell r="K2657">
            <v>28.002500000000001</v>
          </cell>
        </row>
        <row r="2658">
          <cell r="A2658">
            <v>33353</v>
          </cell>
          <cell r="J2658">
            <v>26.39</v>
          </cell>
          <cell r="K2658">
            <v>25.879100000000001</v>
          </cell>
        </row>
        <row r="2659">
          <cell r="A2659">
            <v>33354</v>
          </cell>
          <cell r="J2659">
            <v>25.55</v>
          </cell>
          <cell r="K2659">
            <v>25.184899999999999</v>
          </cell>
        </row>
        <row r="2660">
          <cell r="A2660">
            <v>33357</v>
          </cell>
          <cell r="J2660">
            <v>23.63</v>
          </cell>
          <cell r="K2660">
            <v>23.4634</v>
          </cell>
        </row>
        <row r="2661">
          <cell r="A2661">
            <v>33358</v>
          </cell>
          <cell r="J2661">
            <v>22.07</v>
          </cell>
          <cell r="K2661">
            <v>22.4999</v>
          </cell>
        </row>
        <row r="2662">
          <cell r="A2662">
            <v>33359</v>
          </cell>
          <cell r="J2662">
            <v>21.72</v>
          </cell>
          <cell r="K2662">
            <v>21.880400000000002</v>
          </cell>
        </row>
        <row r="2663">
          <cell r="A2663">
            <v>33360</v>
          </cell>
          <cell r="J2663">
            <v>21.52</v>
          </cell>
          <cell r="K2663">
            <v>22.451799999999999</v>
          </cell>
        </row>
        <row r="2664">
          <cell r="A2664">
            <v>33361</v>
          </cell>
          <cell r="J2664">
            <v>20.45</v>
          </cell>
          <cell r="K2664">
            <v>21.099499999999999</v>
          </cell>
        </row>
        <row r="2665">
          <cell r="A2665">
            <v>33364</v>
          </cell>
          <cell r="J2665">
            <v>19.89</v>
          </cell>
          <cell r="K2665">
            <v>21.026399999999999</v>
          </cell>
        </row>
        <row r="2666">
          <cell r="A2666">
            <v>33365</v>
          </cell>
          <cell r="J2666">
            <v>19.2</v>
          </cell>
          <cell r="K2666">
            <v>20.193000000000001</v>
          </cell>
        </row>
        <row r="2667">
          <cell r="A2667">
            <v>33366</v>
          </cell>
          <cell r="J2667">
            <v>19.13</v>
          </cell>
          <cell r="K2667">
            <v>19.6691</v>
          </cell>
        </row>
        <row r="2668">
          <cell r="A2668">
            <v>33367</v>
          </cell>
          <cell r="J2668">
            <v>18.53</v>
          </cell>
          <cell r="K2668">
            <v>19.814299999999999</v>
          </cell>
        </row>
        <row r="2669">
          <cell r="A2669">
            <v>33368</v>
          </cell>
          <cell r="J2669">
            <v>18.52</v>
          </cell>
          <cell r="K2669">
            <v>19.283999999999999</v>
          </cell>
        </row>
        <row r="2670">
          <cell r="A2670">
            <v>33371</v>
          </cell>
          <cell r="J2670">
            <v>20.309999999999999</v>
          </cell>
          <cell r="K2670">
            <v>18.884699999999999</v>
          </cell>
        </row>
        <row r="2671">
          <cell r="A2671">
            <v>33372</v>
          </cell>
          <cell r="J2671">
            <v>19.93</v>
          </cell>
          <cell r="K2671">
            <v>19.239000000000001</v>
          </cell>
        </row>
        <row r="2672">
          <cell r="A2672">
            <v>33373</v>
          </cell>
          <cell r="J2672">
            <v>20.16</v>
          </cell>
          <cell r="K2672">
            <v>19.525200000000002</v>
          </cell>
        </row>
        <row r="2673">
          <cell r="A2673">
            <v>33374</v>
          </cell>
          <cell r="J2673">
            <v>19.7</v>
          </cell>
          <cell r="K2673">
            <v>18.433900000000001</v>
          </cell>
        </row>
        <row r="2674">
          <cell r="A2674">
            <v>33375</v>
          </cell>
          <cell r="J2674">
            <v>18.97</v>
          </cell>
          <cell r="K2674">
            <v>17.605399999999999</v>
          </cell>
        </row>
        <row r="2675">
          <cell r="A2675">
            <v>33378</v>
          </cell>
          <cell r="J2675">
            <v>18.809999999999999</v>
          </cell>
          <cell r="K2675">
            <v>18.867599999999999</v>
          </cell>
        </row>
        <row r="2676">
          <cell r="A2676">
            <v>33379</v>
          </cell>
          <cell r="J2676">
            <v>20.46</v>
          </cell>
          <cell r="K2676">
            <v>20.2593</v>
          </cell>
        </row>
        <row r="2677">
          <cell r="A2677">
            <v>33380</v>
          </cell>
          <cell r="J2677">
            <v>19.829999999999998</v>
          </cell>
          <cell r="K2677">
            <v>20.617899999999999</v>
          </cell>
        </row>
        <row r="2678">
          <cell r="A2678">
            <v>33381</v>
          </cell>
          <cell r="J2678">
            <v>19.059999999999999</v>
          </cell>
          <cell r="K2678">
            <v>20.164899999999999</v>
          </cell>
        </row>
        <row r="2679">
          <cell r="A2679">
            <v>33382</v>
          </cell>
          <cell r="J2679">
            <v>19.670000000000002</v>
          </cell>
          <cell r="K2679">
            <v>19.7334</v>
          </cell>
        </row>
        <row r="2680">
          <cell r="A2680">
            <v>33385</v>
          </cell>
          <cell r="J2680">
            <v>18.53</v>
          </cell>
          <cell r="K2680">
            <v>19.180900000000001</v>
          </cell>
        </row>
        <row r="2681">
          <cell r="A2681">
            <v>33386</v>
          </cell>
          <cell r="J2681">
            <v>17.55</v>
          </cell>
          <cell r="K2681">
            <v>18.391500000000001</v>
          </cell>
        </row>
        <row r="2682">
          <cell r="A2682">
            <v>33387</v>
          </cell>
          <cell r="J2682">
            <v>16.77</v>
          </cell>
          <cell r="K2682">
            <v>17.549299999999999</v>
          </cell>
        </row>
        <row r="2683">
          <cell r="A2683">
            <v>33388</v>
          </cell>
          <cell r="J2683">
            <v>17.57</v>
          </cell>
          <cell r="K2683">
            <v>17.4392</v>
          </cell>
        </row>
        <row r="2684">
          <cell r="A2684">
            <v>33389</v>
          </cell>
          <cell r="J2684">
            <v>17.100000000000001</v>
          </cell>
          <cell r="K2684">
            <v>17.163599999999999</v>
          </cell>
        </row>
        <row r="2685">
          <cell r="A2685">
            <v>33392</v>
          </cell>
          <cell r="J2685">
            <v>16.350000000000001</v>
          </cell>
          <cell r="K2685">
            <v>16.609500000000001</v>
          </cell>
        </row>
        <row r="2686">
          <cell r="A2686">
            <v>33393</v>
          </cell>
          <cell r="J2686">
            <v>17.170000000000002</v>
          </cell>
          <cell r="K2686">
            <v>17.840699999999998</v>
          </cell>
        </row>
        <row r="2687">
          <cell r="A2687">
            <v>33394</v>
          </cell>
          <cell r="J2687">
            <v>16.62</v>
          </cell>
          <cell r="K2687">
            <v>17.115400000000001</v>
          </cell>
        </row>
        <row r="2688">
          <cell r="A2688">
            <v>33395</v>
          </cell>
          <cell r="J2688">
            <v>15.96</v>
          </cell>
          <cell r="K2688">
            <v>16.2454</v>
          </cell>
        </row>
        <row r="2689">
          <cell r="A2689">
            <v>33396</v>
          </cell>
          <cell r="J2689">
            <v>15.64</v>
          </cell>
          <cell r="K2689">
            <v>16.406099999999999</v>
          </cell>
        </row>
        <row r="2690">
          <cell r="A2690">
            <v>33399</v>
          </cell>
          <cell r="J2690">
            <v>16.93</v>
          </cell>
          <cell r="K2690">
            <v>17.797000000000001</v>
          </cell>
        </row>
        <row r="2691">
          <cell r="A2691">
            <v>33400</v>
          </cell>
          <cell r="J2691">
            <v>16.79</v>
          </cell>
          <cell r="K2691">
            <v>17.391400000000001</v>
          </cell>
        </row>
        <row r="2692">
          <cell r="A2692">
            <v>33401</v>
          </cell>
          <cell r="J2692">
            <v>16.86</v>
          </cell>
          <cell r="K2692">
            <v>16.686699999999998</v>
          </cell>
        </row>
        <row r="2693">
          <cell r="A2693">
            <v>33402</v>
          </cell>
          <cell r="J2693">
            <v>20.28</v>
          </cell>
          <cell r="K2693">
            <v>19.545100000000001</v>
          </cell>
        </row>
        <row r="2694">
          <cell r="A2694">
            <v>33403</v>
          </cell>
          <cell r="J2694">
            <v>20.71</v>
          </cell>
          <cell r="K2694">
            <v>20.252099999999999</v>
          </cell>
        </row>
        <row r="2695">
          <cell r="A2695">
            <v>33406</v>
          </cell>
          <cell r="J2695">
            <v>19.59</v>
          </cell>
          <cell r="K2695">
            <v>19.2941</v>
          </cell>
        </row>
        <row r="2696">
          <cell r="A2696">
            <v>33407</v>
          </cell>
          <cell r="J2696">
            <v>19.489999999999998</v>
          </cell>
          <cell r="K2696">
            <v>19.143000000000001</v>
          </cell>
        </row>
        <row r="2697">
          <cell r="A2697">
            <v>33408</v>
          </cell>
          <cell r="J2697">
            <v>20.13</v>
          </cell>
          <cell r="K2697">
            <v>19.6892</v>
          </cell>
        </row>
        <row r="2698">
          <cell r="A2698">
            <v>33409</v>
          </cell>
          <cell r="J2698">
            <v>19.899999999999999</v>
          </cell>
          <cell r="K2698">
            <v>19.4757</v>
          </cell>
        </row>
        <row r="2699">
          <cell r="A2699">
            <v>33410</v>
          </cell>
          <cell r="J2699">
            <v>18.79</v>
          </cell>
          <cell r="K2699">
            <v>18.373799999999999</v>
          </cell>
        </row>
        <row r="2700">
          <cell r="A2700">
            <v>33413</v>
          </cell>
          <cell r="J2700">
            <v>17.809999999999999</v>
          </cell>
          <cell r="K2700">
            <v>17.402200000000001</v>
          </cell>
        </row>
        <row r="2701">
          <cell r="A2701">
            <v>33414</v>
          </cell>
          <cell r="J2701">
            <v>17.899999999999999</v>
          </cell>
          <cell r="K2701">
            <v>17.6221</v>
          </cell>
        </row>
        <row r="2702">
          <cell r="A2702">
            <v>33415</v>
          </cell>
          <cell r="J2702">
            <v>17.23</v>
          </cell>
          <cell r="K2702">
            <v>17.1676</v>
          </cell>
        </row>
        <row r="2703">
          <cell r="A2703">
            <v>33416</v>
          </cell>
          <cell r="J2703">
            <v>17.45</v>
          </cell>
          <cell r="K2703">
            <v>17.438800000000001</v>
          </cell>
        </row>
        <row r="2704">
          <cell r="A2704">
            <v>33417</v>
          </cell>
          <cell r="J2704">
            <v>16.670000000000002</v>
          </cell>
          <cell r="K2704">
            <v>16.6782</v>
          </cell>
        </row>
        <row r="2705">
          <cell r="A2705">
            <v>33420</v>
          </cell>
          <cell r="J2705">
            <v>19.48</v>
          </cell>
          <cell r="K2705">
            <v>21.086500000000001</v>
          </cell>
        </row>
        <row r="2706">
          <cell r="A2706">
            <v>33421</v>
          </cell>
          <cell r="J2706">
            <v>18.690000000000001</v>
          </cell>
          <cell r="K2706">
            <v>19.934799999999999</v>
          </cell>
        </row>
        <row r="2707">
          <cell r="A2707">
            <v>33422</v>
          </cell>
          <cell r="J2707">
            <v>21.63</v>
          </cell>
          <cell r="K2707">
            <v>20.730399999999999</v>
          </cell>
        </row>
        <row r="2708">
          <cell r="A2708">
            <v>33423</v>
          </cell>
          <cell r="J2708">
            <v>21.95</v>
          </cell>
          <cell r="K2708">
            <v>20.782900000000001</v>
          </cell>
        </row>
        <row r="2709">
          <cell r="A2709">
            <v>33424</v>
          </cell>
          <cell r="J2709">
            <v>21.42</v>
          </cell>
          <cell r="K2709">
            <v>19.802</v>
          </cell>
        </row>
        <row r="2710">
          <cell r="A2710">
            <v>33427</v>
          </cell>
          <cell r="J2710">
            <v>20.22</v>
          </cell>
          <cell r="K2710">
            <v>18.723199999999999</v>
          </cell>
        </row>
        <row r="2711">
          <cell r="A2711">
            <v>33428</v>
          </cell>
          <cell r="J2711">
            <v>18.989999999999998</v>
          </cell>
          <cell r="K2711">
            <v>17.681899999999999</v>
          </cell>
        </row>
        <row r="2712">
          <cell r="A2712">
            <v>33429</v>
          </cell>
          <cell r="J2712">
            <v>18.39</v>
          </cell>
          <cell r="K2712">
            <v>16.886199999999999</v>
          </cell>
        </row>
        <row r="2713">
          <cell r="A2713">
            <v>33430</v>
          </cell>
          <cell r="J2713">
            <v>18.23</v>
          </cell>
          <cell r="K2713">
            <v>16.440999999999999</v>
          </cell>
        </row>
        <row r="2714">
          <cell r="A2714">
            <v>33431</v>
          </cell>
          <cell r="J2714">
            <v>17.649999999999999</v>
          </cell>
          <cell r="K2714">
            <v>15.994300000000001</v>
          </cell>
        </row>
        <row r="2715">
          <cell r="A2715">
            <v>33434</v>
          </cell>
          <cell r="J2715">
            <v>18.05</v>
          </cell>
          <cell r="K2715">
            <v>16.3569</v>
          </cell>
        </row>
        <row r="2716">
          <cell r="A2716">
            <v>33435</v>
          </cell>
          <cell r="J2716">
            <v>17.16</v>
          </cell>
          <cell r="K2716">
            <v>16.174099999999999</v>
          </cell>
        </row>
        <row r="2717">
          <cell r="A2717">
            <v>33436</v>
          </cell>
          <cell r="J2717">
            <v>16.760000000000002</v>
          </cell>
          <cell r="K2717">
            <v>15.699299999999999</v>
          </cell>
        </row>
        <row r="2718">
          <cell r="A2718">
            <v>33437</v>
          </cell>
          <cell r="J2718">
            <v>16.07</v>
          </cell>
          <cell r="K2718">
            <v>15.4537</v>
          </cell>
        </row>
        <row r="2719">
          <cell r="A2719">
            <v>33438</v>
          </cell>
          <cell r="J2719">
            <v>15.83</v>
          </cell>
          <cell r="K2719">
            <v>15.0352</v>
          </cell>
        </row>
        <row r="2720">
          <cell r="A2720">
            <v>33441</v>
          </cell>
          <cell r="J2720">
            <v>15.98</v>
          </cell>
          <cell r="K2720">
            <v>14.704000000000001</v>
          </cell>
        </row>
        <row r="2721">
          <cell r="A2721">
            <v>33442</v>
          </cell>
          <cell r="J2721">
            <v>15.48</v>
          </cell>
          <cell r="K2721">
            <v>14.5495</v>
          </cell>
        </row>
        <row r="2722">
          <cell r="A2722">
            <v>33443</v>
          </cell>
          <cell r="J2722">
            <v>15.1</v>
          </cell>
          <cell r="K2722">
            <v>14.305999999999999</v>
          </cell>
        </row>
        <row r="2723">
          <cell r="A2723">
            <v>33444</v>
          </cell>
          <cell r="J2723">
            <v>16.87</v>
          </cell>
          <cell r="K2723">
            <v>14.4673</v>
          </cell>
        </row>
        <row r="2724">
          <cell r="A2724">
            <v>33445</v>
          </cell>
          <cell r="J2724">
            <v>17.18</v>
          </cell>
          <cell r="K2724">
            <v>15.4771</v>
          </cell>
        </row>
        <row r="2725">
          <cell r="A2725">
            <v>33448</v>
          </cell>
          <cell r="J2725">
            <v>16.420000000000002</v>
          </cell>
          <cell r="K2725">
            <v>14.9757</v>
          </cell>
        </row>
        <row r="2726">
          <cell r="A2726">
            <v>33449</v>
          </cell>
          <cell r="J2726">
            <v>17.66</v>
          </cell>
          <cell r="K2726">
            <v>15.753</v>
          </cell>
        </row>
        <row r="2727">
          <cell r="A2727">
            <v>33450</v>
          </cell>
          <cell r="J2727">
            <v>16.86</v>
          </cell>
          <cell r="K2727">
            <v>15.6973</v>
          </cell>
        </row>
        <row r="2728">
          <cell r="A2728">
            <v>33451</v>
          </cell>
          <cell r="J2728">
            <v>16.170000000000002</v>
          </cell>
          <cell r="K2728">
            <v>15.2765</v>
          </cell>
        </row>
        <row r="2729">
          <cell r="A2729">
            <v>33452</v>
          </cell>
          <cell r="J2729">
            <v>15.56</v>
          </cell>
          <cell r="K2729">
            <v>14.9918</v>
          </cell>
        </row>
        <row r="2730">
          <cell r="A2730">
            <v>33455</v>
          </cell>
          <cell r="J2730">
            <v>15.09</v>
          </cell>
          <cell r="K2730">
            <v>14.588100000000001</v>
          </cell>
        </row>
        <row r="2731">
          <cell r="A2731">
            <v>33456</v>
          </cell>
          <cell r="J2731">
            <v>14.78</v>
          </cell>
          <cell r="K2731">
            <v>14.3086</v>
          </cell>
        </row>
        <row r="2732">
          <cell r="A2732">
            <v>33457</v>
          </cell>
          <cell r="J2732">
            <v>14.42</v>
          </cell>
          <cell r="K2732">
            <v>13.976100000000001</v>
          </cell>
        </row>
        <row r="2733">
          <cell r="A2733">
            <v>33458</v>
          </cell>
          <cell r="J2733">
            <v>14.36</v>
          </cell>
          <cell r="K2733">
            <v>13.597099999999999</v>
          </cell>
        </row>
        <row r="2734">
          <cell r="A2734">
            <v>33459</v>
          </cell>
          <cell r="J2734">
            <v>14.1</v>
          </cell>
          <cell r="K2734">
            <v>13.400600000000001</v>
          </cell>
        </row>
        <row r="2735">
          <cell r="A2735">
            <v>33462</v>
          </cell>
          <cell r="J2735">
            <v>15.18</v>
          </cell>
          <cell r="K2735">
            <v>15.3927</v>
          </cell>
        </row>
        <row r="2736">
          <cell r="A2736">
            <v>33463</v>
          </cell>
          <cell r="J2736">
            <v>14.94</v>
          </cell>
          <cell r="K2736">
            <v>15.110099999999999</v>
          </cell>
        </row>
        <row r="2737">
          <cell r="A2737">
            <v>33464</v>
          </cell>
          <cell r="J2737">
            <v>15</v>
          </cell>
          <cell r="K2737">
            <v>14.6408</v>
          </cell>
        </row>
        <row r="2738">
          <cell r="A2738">
            <v>33465</v>
          </cell>
          <cell r="J2738">
            <v>14.59</v>
          </cell>
          <cell r="K2738">
            <v>14.4321</v>
          </cell>
        </row>
        <row r="2739">
          <cell r="A2739">
            <v>33466</v>
          </cell>
          <cell r="J2739">
            <v>14.3</v>
          </cell>
          <cell r="K2739">
            <v>14.0816</v>
          </cell>
        </row>
        <row r="2740">
          <cell r="A2740">
            <v>33469</v>
          </cell>
          <cell r="J2740">
            <v>18.010000000000002</v>
          </cell>
          <cell r="K2740">
            <v>17.878799999999998</v>
          </cell>
        </row>
        <row r="2741">
          <cell r="A2741">
            <v>33470</v>
          </cell>
          <cell r="J2741">
            <v>56.3</v>
          </cell>
          <cell r="K2741">
            <v>50.717700000000001</v>
          </cell>
        </row>
        <row r="2742">
          <cell r="A2742">
            <v>33471</v>
          </cell>
          <cell r="J2742">
            <v>53.49</v>
          </cell>
          <cell r="K2742">
            <v>47.601100000000002</v>
          </cell>
        </row>
        <row r="2743">
          <cell r="A2743">
            <v>33472</v>
          </cell>
          <cell r="J2743">
            <v>55.68</v>
          </cell>
          <cell r="K2743">
            <v>48.141599999999997</v>
          </cell>
        </row>
        <row r="2744">
          <cell r="A2744">
            <v>33473</v>
          </cell>
          <cell r="J2744">
            <v>52.66</v>
          </cell>
          <cell r="K2744">
            <v>46.818800000000003</v>
          </cell>
        </row>
        <row r="2745">
          <cell r="A2745">
            <v>33476</v>
          </cell>
          <cell r="J2745">
            <v>47.66</v>
          </cell>
          <cell r="K2745">
            <v>42.814100000000003</v>
          </cell>
        </row>
        <row r="2746">
          <cell r="A2746">
            <v>33477</v>
          </cell>
          <cell r="J2746">
            <v>43.35</v>
          </cell>
          <cell r="K2746">
            <v>39.136600000000001</v>
          </cell>
        </row>
        <row r="2747">
          <cell r="A2747">
            <v>33478</v>
          </cell>
          <cell r="J2747">
            <v>39.33</v>
          </cell>
          <cell r="K2747">
            <v>35.9833</v>
          </cell>
        </row>
        <row r="2748">
          <cell r="A2748">
            <v>33479</v>
          </cell>
          <cell r="J2748">
            <v>35.76</v>
          </cell>
          <cell r="K2748">
            <v>32.962000000000003</v>
          </cell>
        </row>
        <row r="2749">
          <cell r="A2749">
            <v>33480</v>
          </cell>
          <cell r="J2749">
            <v>32.83</v>
          </cell>
          <cell r="K2749">
            <v>30.335799999999999</v>
          </cell>
        </row>
        <row r="2750">
          <cell r="A2750">
            <v>33483</v>
          </cell>
          <cell r="J2750">
            <v>30.21</v>
          </cell>
          <cell r="K2750">
            <v>28.391100000000002</v>
          </cell>
        </row>
        <row r="2751">
          <cell r="A2751">
            <v>33484</v>
          </cell>
          <cell r="J2751">
            <v>27.86</v>
          </cell>
          <cell r="K2751">
            <v>26.2928</v>
          </cell>
        </row>
        <row r="2752">
          <cell r="A2752">
            <v>33485</v>
          </cell>
          <cell r="J2752">
            <v>25.69</v>
          </cell>
          <cell r="K2752">
            <v>24.4086</v>
          </cell>
        </row>
        <row r="2753">
          <cell r="A2753">
            <v>33486</v>
          </cell>
          <cell r="J2753">
            <v>23.89</v>
          </cell>
          <cell r="K2753">
            <v>22.83</v>
          </cell>
        </row>
        <row r="2754">
          <cell r="A2754">
            <v>33487</v>
          </cell>
          <cell r="J2754">
            <v>22.24</v>
          </cell>
          <cell r="K2754">
            <v>21.404699999999998</v>
          </cell>
        </row>
        <row r="2755">
          <cell r="A2755">
            <v>33490</v>
          </cell>
          <cell r="J2755">
            <v>20.94</v>
          </cell>
          <cell r="K2755">
            <v>20.124300000000002</v>
          </cell>
        </row>
        <row r="2756">
          <cell r="A2756">
            <v>33491</v>
          </cell>
          <cell r="J2756">
            <v>20.93</v>
          </cell>
          <cell r="K2756">
            <v>19.575500000000002</v>
          </cell>
        </row>
        <row r="2757">
          <cell r="A2757">
            <v>33492</v>
          </cell>
          <cell r="J2757">
            <v>19.829999999999998</v>
          </cell>
          <cell r="K2757">
            <v>18.888100000000001</v>
          </cell>
        </row>
        <row r="2758">
          <cell r="A2758">
            <v>33493</v>
          </cell>
          <cell r="J2758">
            <v>18.77</v>
          </cell>
          <cell r="K2758">
            <v>18.187100000000001</v>
          </cell>
        </row>
        <row r="2759">
          <cell r="A2759">
            <v>33494</v>
          </cell>
          <cell r="J2759">
            <v>18.57</v>
          </cell>
          <cell r="K2759">
            <v>17.4742</v>
          </cell>
        </row>
        <row r="2760">
          <cell r="A2760">
            <v>33497</v>
          </cell>
          <cell r="J2760">
            <v>18.079999999999998</v>
          </cell>
          <cell r="K2760">
            <v>16.834099999999999</v>
          </cell>
        </row>
        <row r="2761">
          <cell r="A2761">
            <v>33498</v>
          </cell>
          <cell r="J2761">
            <v>17.329999999999998</v>
          </cell>
          <cell r="K2761">
            <v>16.2974</v>
          </cell>
        </row>
        <row r="2762">
          <cell r="A2762">
            <v>33499</v>
          </cell>
          <cell r="J2762">
            <v>16.53</v>
          </cell>
          <cell r="K2762">
            <v>15.5701</v>
          </cell>
        </row>
        <row r="2763">
          <cell r="A2763">
            <v>33500</v>
          </cell>
          <cell r="J2763">
            <v>16.79</v>
          </cell>
          <cell r="K2763">
            <v>16.285699999999999</v>
          </cell>
        </row>
        <row r="2764">
          <cell r="A2764">
            <v>33501</v>
          </cell>
          <cell r="J2764">
            <v>16.079999999999998</v>
          </cell>
          <cell r="K2764">
            <v>15.9223</v>
          </cell>
        </row>
        <row r="2765">
          <cell r="A2765">
            <v>33504</v>
          </cell>
          <cell r="J2765">
            <v>15.77</v>
          </cell>
          <cell r="K2765">
            <v>16.092700000000001</v>
          </cell>
        </row>
        <row r="2766">
          <cell r="A2766">
            <v>33505</v>
          </cell>
          <cell r="J2766">
            <v>16.78</v>
          </cell>
          <cell r="K2766">
            <v>15.6302</v>
          </cell>
        </row>
        <row r="2767">
          <cell r="A2767">
            <v>33506</v>
          </cell>
          <cell r="J2767">
            <v>16.329999999999998</v>
          </cell>
          <cell r="K2767">
            <v>15.361700000000001</v>
          </cell>
        </row>
        <row r="2768">
          <cell r="A2768">
            <v>33507</v>
          </cell>
          <cell r="J2768">
            <v>16.62</v>
          </cell>
          <cell r="K2768">
            <v>15.2707</v>
          </cell>
        </row>
        <row r="2769">
          <cell r="A2769">
            <v>33508</v>
          </cell>
          <cell r="J2769">
            <v>16.100000000000001</v>
          </cell>
          <cell r="K2769">
            <v>15.0785</v>
          </cell>
        </row>
        <row r="2770">
          <cell r="A2770">
            <v>33511</v>
          </cell>
          <cell r="J2770">
            <v>15.52</v>
          </cell>
          <cell r="K2770">
            <v>15.201599999999999</v>
          </cell>
        </row>
        <row r="2771">
          <cell r="A2771">
            <v>33512</v>
          </cell>
          <cell r="J2771">
            <v>15.6</v>
          </cell>
          <cell r="K2771">
            <v>15.527100000000001</v>
          </cell>
        </row>
        <row r="2772">
          <cell r="A2772">
            <v>33513</v>
          </cell>
          <cell r="J2772">
            <v>15.08</v>
          </cell>
          <cell r="K2772">
            <v>14.957800000000001</v>
          </cell>
        </row>
        <row r="2773">
          <cell r="A2773">
            <v>33514</v>
          </cell>
          <cell r="J2773">
            <v>14.83</v>
          </cell>
          <cell r="K2773">
            <v>14.545400000000001</v>
          </cell>
        </row>
        <row r="2774">
          <cell r="A2774">
            <v>33515</v>
          </cell>
          <cell r="J2774">
            <v>15.38</v>
          </cell>
          <cell r="K2774">
            <v>15.341100000000001</v>
          </cell>
        </row>
        <row r="2775">
          <cell r="A2775">
            <v>33518</v>
          </cell>
          <cell r="J2775">
            <v>17.38</v>
          </cell>
          <cell r="K2775">
            <v>16.500900000000001</v>
          </cell>
        </row>
        <row r="2776">
          <cell r="A2776">
            <v>33519</v>
          </cell>
          <cell r="J2776">
            <v>17.239999999999998</v>
          </cell>
          <cell r="K2776">
            <v>17.230899999999998</v>
          </cell>
        </row>
        <row r="2777">
          <cell r="A2777">
            <v>33520</v>
          </cell>
          <cell r="J2777">
            <v>16.899999999999999</v>
          </cell>
          <cell r="K2777">
            <v>17.097999999999999</v>
          </cell>
        </row>
        <row r="2778">
          <cell r="A2778">
            <v>33521</v>
          </cell>
          <cell r="J2778">
            <v>17.190000000000001</v>
          </cell>
          <cell r="K2778">
            <v>18.1022</v>
          </cell>
        </row>
        <row r="2779">
          <cell r="A2779">
            <v>33522</v>
          </cell>
          <cell r="J2779">
            <v>16.440000000000001</v>
          </cell>
          <cell r="K2779">
            <v>17.424499999999998</v>
          </cell>
        </row>
        <row r="2780">
          <cell r="A2780">
            <v>33525</v>
          </cell>
          <cell r="J2780">
            <v>16.27</v>
          </cell>
          <cell r="K2780">
            <v>17.0105</v>
          </cell>
        </row>
        <row r="2781">
          <cell r="A2781">
            <v>33526</v>
          </cell>
          <cell r="J2781">
            <v>15.97</v>
          </cell>
          <cell r="K2781">
            <v>16.327999999999999</v>
          </cell>
        </row>
        <row r="2782">
          <cell r="A2782">
            <v>33527</v>
          </cell>
          <cell r="J2782">
            <v>15.39</v>
          </cell>
          <cell r="K2782">
            <v>15.886699999999999</v>
          </cell>
        </row>
        <row r="2783">
          <cell r="A2783">
            <v>33528</v>
          </cell>
          <cell r="J2783">
            <v>14.97</v>
          </cell>
          <cell r="K2783">
            <v>15.193</v>
          </cell>
        </row>
        <row r="2784">
          <cell r="A2784">
            <v>33529</v>
          </cell>
          <cell r="J2784">
            <v>14.71</v>
          </cell>
          <cell r="K2784">
            <v>15.173299999999999</v>
          </cell>
        </row>
        <row r="2785">
          <cell r="A2785">
            <v>33532</v>
          </cell>
          <cell r="J2785">
            <v>14.53</v>
          </cell>
          <cell r="K2785">
            <v>14.6014</v>
          </cell>
        </row>
        <row r="2786">
          <cell r="A2786">
            <v>33533</v>
          </cell>
          <cell r="J2786">
            <v>15.17</v>
          </cell>
          <cell r="K2786">
            <v>15.4519</v>
          </cell>
        </row>
        <row r="2787">
          <cell r="A2787">
            <v>33534</v>
          </cell>
          <cell r="J2787">
            <v>16.079999999999998</v>
          </cell>
          <cell r="K2787">
            <v>16.164899999999999</v>
          </cell>
        </row>
        <row r="2788">
          <cell r="A2788">
            <v>33535</v>
          </cell>
          <cell r="J2788">
            <v>16.27</v>
          </cell>
          <cell r="K2788">
            <v>16.028600000000001</v>
          </cell>
        </row>
        <row r="2789">
          <cell r="A2789">
            <v>33536</v>
          </cell>
          <cell r="J2789">
            <v>15.64</v>
          </cell>
          <cell r="K2789">
            <v>16.1754</v>
          </cell>
        </row>
        <row r="2790">
          <cell r="A2790">
            <v>33539</v>
          </cell>
          <cell r="J2790">
            <v>15.12</v>
          </cell>
          <cell r="K2790">
            <v>15.9549</v>
          </cell>
        </row>
        <row r="2791">
          <cell r="A2791">
            <v>33540</v>
          </cell>
          <cell r="J2791">
            <v>14.71</v>
          </cell>
          <cell r="K2791">
            <v>15.6388</v>
          </cell>
        </row>
        <row r="2792">
          <cell r="A2792">
            <v>33541</v>
          </cell>
          <cell r="J2792">
            <v>14.39</v>
          </cell>
          <cell r="K2792">
            <v>15.334099999999999</v>
          </cell>
        </row>
        <row r="2793">
          <cell r="A2793">
            <v>33542</v>
          </cell>
          <cell r="J2793">
            <v>16.46</v>
          </cell>
          <cell r="K2793">
            <v>16.6113</v>
          </cell>
        </row>
        <row r="2794">
          <cell r="A2794">
            <v>33543</v>
          </cell>
          <cell r="J2794">
            <v>15.81</v>
          </cell>
          <cell r="K2794">
            <v>16.131599999999999</v>
          </cell>
        </row>
        <row r="2795">
          <cell r="A2795">
            <v>33546</v>
          </cell>
          <cell r="J2795">
            <v>15.5</v>
          </cell>
          <cell r="K2795">
            <v>15.410500000000001</v>
          </cell>
        </row>
        <row r="2796">
          <cell r="A2796">
            <v>33547</v>
          </cell>
          <cell r="J2796">
            <v>15.59</v>
          </cell>
          <cell r="K2796">
            <v>15.3705</v>
          </cell>
        </row>
        <row r="2797">
          <cell r="A2797">
            <v>33548</v>
          </cell>
          <cell r="J2797">
            <v>15.2</v>
          </cell>
          <cell r="K2797">
            <v>14.8886</v>
          </cell>
        </row>
        <row r="2798">
          <cell r="A2798">
            <v>33549</v>
          </cell>
          <cell r="J2798">
            <v>14.99</v>
          </cell>
          <cell r="K2798">
            <v>14.557499999999999</v>
          </cell>
        </row>
        <row r="2799">
          <cell r="A2799">
            <v>33550</v>
          </cell>
          <cell r="J2799">
            <v>14.58</v>
          </cell>
          <cell r="K2799">
            <v>14.067299999999999</v>
          </cell>
        </row>
        <row r="2800">
          <cell r="A2800">
            <v>33553</v>
          </cell>
          <cell r="J2800">
            <v>14.23</v>
          </cell>
          <cell r="K2800">
            <v>13.7318</v>
          </cell>
        </row>
        <row r="2801">
          <cell r="A2801">
            <v>33554</v>
          </cell>
          <cell r="J2801">
            <v>13.95</v>
          </cell>
          <cell r="K2801">
            <v>13.4102</v>
          </cell>
        </row>
        <row r="2802">
          <cell r="A2802">
            <v>33555</v>
          </cell>
          <cell r="J2802">
            <v>13.72</v>
          </cell>
          <cell r="K2802">
            <v>13.422700000000001</v>
          </cell>
        </row>
        <row r="2803">
          <cell r="A2803">
            <v>33556</v>
          </cell>
          <cell r="J2803">
            <v>13.82</v>
          </cell>
          <cell r="K2803">
            <v>13.663500000000001</v>
          </cell>
        </row>
        <row r="2804">
          <cell r="A2804">
            <v>33557</v>
          </cell>
          <cell r="J2804">
            <v>15.23</v>
          </cell>
          <cell r="K2804">
            <v>14.052</v>
          </cell>
        </row>
        <row r="2805">
          <cell r="A2805">
            <v>33560</v>
          </cell>
          <cell r="J2805">
            <v>15.61</v>
          </cell>
          <cell r="K2805">
            <v>16.048300000000001</v>
          </cell>
        </row>
        <row r="2806">
          <cell r="A2806">
            <v>33561</v>
          </cell>
          <cell r="J2806">
            <v>17.02</v>
          </cell>
          <cell r="K2806">
            <v>16.5107</v>
          </cell>
        </row>
        <row r="2807">
          <cell r="A2807">
            <v>33562</v>
          </cell>
          <cell r="J2807">
            <v>19.73</v>
          </cell>
          <cell r="K2807">
            <v>19.019100000000002</v>
          </cell>
        </row>
        <row r="2808">
          <cell r="A2808">
            <v>33563</v>
          </cell>
          <cell r="J2808">
            <v>18.86</v>
          </cell>
          <cell r="K2808">
            <v>18.0564</v>
          </cell>
        </row>
        <row r="2809">
          <cell r="A2809">
            <v>33564</v>
          </cell>
          <cell r="J2809">
            <v>17.829999999999998</v>
          </cell>
          <cell r="K2809">
            <v>17.1464</v>
          </cell>
        </row>
        <row r="2810">
          <cell r="A2810">
            <v>33567</v>
          </cell>
          <cell r="J2810">
            <v>17.940000000000001</v>
          </cell>
          <cell r="K2810">
            <v>17.6496</v>
          </cell>
        </row>
        <row r="2811">
          <cell r="A2811">
            <v>33568</v>
          </cell>
          <cell r="J2811">
            <v>17.04</v>
          </cell>
          <cell r="K2811">
            <v>17.470800000000001</v>
          </cell>
        </row>
        <row r="2812">
          <cell r="A2812">
            <v>33569</v>
          </cell>
          <cell r="J2812">
            <v>16.52</v>
          </cell>
          <cell r="K2812">
            <v>16.904399999999999</v>
          </cell>
        </row>
        <row r="2813">
          <cell r="A2813">
            <v>33570</v>
          </cell>
          <cell r="J2813">
            <v>20.02</v>
          </cell>
          <cell r="K2813">
            <v>20.542200000000001</v>
          </cell>
        </row>
        <row r="2814">
          <cell r="A2814">
            <v>33571</v>
          </cell>
          <cell r="J2814">
            <v>18.98</v>
          </cell>
          <cell r="K2814">
            <v>19.628799999999998</v>
          </cell>
        </row>
        <row r="2815">
          <cell r="A2815">
            <v>33574</v>
          </cell>
          <cell r="J2815">
            <v>19.850000000000001</v>
          </cell>
          <cell r="K2815">
            <v>20.590399999999999</v>
          </cell>
        </row>
        <row r="2816">
          <cell r="A2816">
            <v>33575</v>
          </cell>
          <cell r="J2816">
            <v>18.86</v>
          </cell>
          <cell r="K2816">
            <v>19.366499999999998</v>
          </cell>
        </row>
        <row r="2817">
          <cell r="A2817">
            <v>33576</v>
          </cell>
          <cell r="J2817">
            <v>17.829999999999998</v>
          </cell>
          <cell r="K2817">
            <v>18.2073</v>
          </cell>
        </row>
        <row r="2818">
          <cell r="A2818">
            <v>33577</v>
          </cell>
          <cell r="J2818">
            <v>17.399999999999999</v>
          </cell>
          <cell r="K2818">
            <v>17.779800000000002</v>
          </cell>
        </row>
        <row r="2819">
          <cell r="A2819">
            <v>33578</v>
          </cell>
          <cell r="J2819">
            <v>16.59</v>
          </cell>
          <cell r="K2819">
            <v>16.897600000000001</v>
          </cell>
        </row>
        <row r="2820">
          <cell r="A2820">
            <v>33581</v>
          </cell>
          <cell r="J2820">
            <v>15.91</v>
          </cell>
          <cell r="K2820">
            <v>16.6556</v>
          </cell>
        </row>
        <row r="2821">
          <cell r="A2821">
            <v>33582</v>
          </cell>
          <cell r="J2821">
            <v>17.399999999999999</v>
          </cell>
          <cell r="K2821">
            <v>16.744599999999998</v>
          </cell>
        </row>
        <row r="2822">
          <cell r="A2822">
            <v>33583</v>
          </cell>
          <cell r="J2822">
            <v>20.68</v>
          </cell>
          <cell r="K2822">
            <v>18.235399999999998</v>
          </cell>
        </row>
        <row r="2823">
          <cell r="A2823">
            <v>33584</v>
          </cell>
          <cell r="J2823">
            <v>19.38</v>
          </cell>
          <cell r="K2823">
            <v>18.3035</v>
          </cell>
        </row>
        <row r="2824">
          <cell r="A2824">
            <v>33585</v>
          </cell>
          <cell r="J2824">
            <v>19.989999999999998</v>
          </cell>
          <cell r="K2824">
            <v>18.3001</v>
          </cell>
        </row>
        <row r="2825">
          <cell r="A2825">
            <v>33588</v>
          </cell>
          <cell r="J2825">
            <v>18.86</v>
          </cell>
          <cell r="K2825">
            <v>17.564399999999999</v>
          </cell>
        </row>
        <row r="2826">
          <cell r="A2826">
            <v>33589</v>
          </cell>
          <cell r="J2826">
            <v>18.66</v>
          </cell>
          <cell r="K2826">
            <v>16.824999999999999</v>
          </cell>
        </row>
        <row r="2827">
          <cell r="A2827">
            <v>33590</v>
          </cell>
          <cell r="J2827">
            <v>18.28</v>
          </cell>
          <cell r="K2827">
            <v>16.063600000000001</v>
          </cell>
        </row>
        <row r="2828">
          <cell r="A2828">
            <v>33591</v>
          </cell>
          <cell r="J2828">
            <v>17.760000000000002</v>
          </cell>
          <cell r="K2828">
            <v>16.1875</v>
          </cell>
        </row>
        <row r="2829">
          <cell r="A2829">
            <v>33592</v>
          </cell>
          <cell r="J2829">
            <v>17.399999999999999</v>
          </cell>
          <cell r="K2829">
            <v>16.110700000000001</v>
          </cell>
        </row>
        <row r="2830">
          <cell r="A2830">
            <v>33595</v>
          </cell>
          <cell r="J2830">
            <v>16.84</v>
          </cell>
          <cell r="K2830">
            <v>15.7475</v>
          </cell>
        </row>
        <row r="2831">
          <cell r="A2831">
            <v>33596</v>
          </cell>
          <cell r="J2831">
            <v>16.16</v>
          </cell>
          <cell r="K2831">
            <v>16.068899999999999</v>
          </cell>
        </row>
        <row r="2832">
          <cell r="A2832">
            <v>33597</v>
          </cell>
          <cell r="J2832">
            <v>22.72</v>
          </cell>
          <cell r="K2832">
            <v>19.086400000000001</v>
          </cell>
        </row>
        <row r="2833">
          <cell r="A2833">
            <v>33598</v>
          </cell>
          <cell r="J2833">
            <v>21.2</v>
          </cell>
          <cell r="K2833">
            <v>18.189900000000002</v>
          </cell>
        </row>
        <row r="2834">
          <cell r="A2834">
            <v>33599</v>
          </cell>
          <cell r="J2834">
            <v>21.46</v>
          </cell>
          <cell r="K2834">
            <v>17.8874</v>
          </cell>
        </row>
        <row r="2835">
          <cell r="A2835">
            <v>33602</v>
          </cell>
          <cell r="J2835">
            <v>20.29</v>
          </cell>
          <cell r="K2835">
            <v>17.471</v>
          </cell>
        </row>
        <row r="2836">
          <cell r="A2836">
            <v>33603</v>
          </cell>
          <cell r="J2836">
            <v>19.11</v>
          </cell>
          <cell r="K2836">
            <v>16.883199999999999</v>
          </cell>
        </row>
        <row r="2837">
          <cell r="A2837">
            <v>33604</v>
          </cell>
          <cell r="J2837">
            <v>18.760000000000002</v>
          </cell>
          <cell r="K2837">
            <v>17.408300000000001</v>
          </cell>
        </row>
        <row r="2838">
          <cell r="A2838">
            <v>33605</v>
          </cell>
          <cell r="J2838">
            <v>17.82</v>
          </cell>
          <cell r="K2838">
            <v>16.744900000000001</v>
          </cell>
        </row>
        <row r="2839">
          <cell r="A2839">
            <v>33606</v>
          </cell>
          <cell r="J2839">
            <v>18.37</v>
          </cell>
          <cell r="K2839">
            <v>18.134599999999999</v>
          </cell>
        </row>
        <row r="2840">
          <cell r="A2840">
            <v>33609</v>
          </cell>
          <cell r="J2840">
            <v>17.43</v>
          </cell>
          <cell r="K2840">
            <v>17.646699999999999</v>
          </cell>
        </row>
        <row r="2841">
          <cell r="A2841">
            <v>33610</v>
          </cell>
          <cell r="J2841">
            <v>19.96</v>
          </cell>
          <cell r="K2841">
            <v>17.625800000000002</v>
          </cell>
        </row>
        <row r="2842">
          <cell r="A2842">
            <v>33611</v>
          </cell>
          <cell r="J2842">
            <v>19.16</v>
          </cell>
          <cell r="K2842">
            <v>17.547699999999999</v>
          </cell>
        </row>
        <row r="2843">
          <cell r="A2843">
            <v>33612</v>
          </cell>
          <cell r="J2843">
            <v>18.13</v>
          </cell>
          <cell r="K2843">
            <v>17.1356</v>
          </cell>
        </row>
        <row r="2844">
          <cell r="A2844">
            <v>33613</v>
          </cell>
          <cell r="J2844">
            <v>18.11</v>
          </cell>
          <cell r="K2844">
            <v>17.069600000000001</v>
          </cell>
        </row>
        <row r="2845">
          <cell r="A2845">
            <v>33616</v>
          </cell>
          <cell r="J2845">
            <v>22.71</v>
          </cell>
          <cell r="K2845">
            <v>23.983699999999999</v>
          </cell>
        </row>
        <row r="2846">
          <cell r="A2846">
            <v>33617</v>
          </cell>
          <cell r="J2846">
            <v>22.21</v>
          </cell>
          <cell r="K2846">
            <v>22.921900000000001</v>
          </cell>
        </row>
        <row r="2847">
          <cell r="A2847">
            <v>33618</v>
          </cell>
          <cell r="J2847">
            <v>21.69</v>
          </cell>
          <cell r="K2847">
            <v>22.0779</v>
          </cell>
        </row>
        <row r="2848">
          <cell r="A2848">
            <v>33619</v>
          </cell>
          <cell r="J2848">
            <v>22.73</v>
          </cell>
          <cell r="K2848">
            <v>22.909199999999998</v>
          </cell>
        </row>
        <row r="2849">
          <cell r="A2849">
            <v>33620</v>
          </cell>
          <cell r="J2849">
            <v>21.41</v>
          </cell>
          <cell r="K2849">
            <v>21.550999999999998</v>
          </cell>
        </row>
        <row r="2850">
          <cell r="A2850">
            <v>33623</v>
          </cell>
          <cell r="J2850">
            <v>20.04</v>
          </cell>
          <cell r="K2850">
            <v>20.1812</v>
          </cell>
        </row>
        <row r="2851">
          <cell r="A2851">
            <v>33624</v>
          </cell>
          <cell r="J2851">
            <v>19.86</v>
          </cell>
          <cell r="K2851">
            <v>19.580500000000001</v>
          </cell>
        </row>
        <row r="2852">
          <cell r="A2852">
            <v>33625</v>
          </cell>
          <cell r="J2852">
            <v>18.68</v>
          </cell>
          <cell r="K2852">
            <v>18.744800000000001</v>
          </cell>
        </row>
        <row r="2853">
          <cell r="A2853">
            <v>33626</v>
          </cell>
          <cell r="J2853">
            <v>18.600000000000001</v>
          </cell>
          <cell r="K2853">
            <v>18.2578</v>
          </cell>
        </row>
        <row r="2854">
          <cell r="A2854">
            <v>33627</v>
          </cell>
          <cell r="J2854">
            <v>18.190000000000001</v>
          </cell>
          <cell r="K2854">
            <v>18.283000000000001</v>
          </cell>
        </row>
        <row r="2855">
          <cell r="A2855">
            <v>33630</v>
          </cell>
          <cell r="J2855">
            <v>17.96</v>
          </cell>
          <cell r="K2855">
            <v>19.604199999999999</v>
          </cell>
        </row>
        <row r="2856">
          <cell r="A2856">
            <v>33631</v>
          </cell>
          <cell r="J2856">
            <v>17.649999999999999</v>
          </cell>
          <cell r="K2856">
            <v>18.635899999999999</v>
          </cell>
        </row>
        <row r="2857">
          <cell r="A2857">
            <v>33632</v>
          </cell>
          <cell r="J2857">
            <v>17.350000000000001</v>
          </cell>
          <cell r="K2857">
            <v>17.908200000000001</v>
          </cell>
        </row>
        <row r="2858">
          <cell r="A2858">
            <v>33633</v>
          </cell>
          <cell r="J2858">
            <v>16.649999999999999</v>
          </cell>
          <cell r="K2858">
            <v>17.0243</v>
          </cell>
        </row>
        <row r="2859">
          <cell r="A2859">
            <v>33634</v>
          </cell>
          <cell r="J2859">
            <v>17.899999999999999</v>
          </cell>
          <cell r="K2859">
            <v>17.412700000000001</v>
          </cell>
        </row>
        <row r="2860">
          <cell r="A2860">
            <v>33637</v>
          </cell>
          <cell r="J2860">
            <v>18.010000000000002</v>
          </cell>
          <cell r="K2860">
            <v>17.3523</v>
          </cell>
        </row>
        <row r="2861">
          <cell r="A2861">
            <v>33638</v>
          </cell>
          <cell r="J2861">
            <v>17.64</v>
          </cell>
          <cell r="K2861">
            <v>17.460799999999999</v>
          </cell>
        </row>
        <row r="2862">
          <cell r="A2862">
            <v>33639</v>
          </cell>
          <cell r="J2862">
            <v>17.02</v>
          </cell>
          <cell r="K2862">
            <v>16.586200000000002</v>
          </cell>
        </row>
        <row r="2863">
          <cell r="A2863">
            <v>33640</v>
          </cell>
          <cell r="J2863">
            <v>16.63</v>
          </cell>
          <cell r="K2863">
            <v>15.866899999999999</v>
          </cell>
        </row>
        <row r="2864">
          <cell r="A2864">
            <v>33641</v>
          </cell>
          <cell r="J2864">
            <v>15.94</v>
          </cell>
          <cell r="K2864">
            <v>15.3093</v>
          </cell>
        </row>
        <row r="2865">
          <cell r="A2865">
            <v>33644</v>
          </cell>
          <cell r="J2865">
            <v>15.88</v>
          </cell>
          <cell r="K2865">
            <v>14.768800000000001</v>
          </cell>
        </row>
        <row r="2866">
          <cell r="A2866">
            <v>33645</v>
          </cell>
          <cell r="J2866">
            <v>15.56</v>
          </cell>
          <cell r="K2866">
            <v>14.453200000000001</v>
          </cell>
        </row>
        <row r="2867">
          <cell r="A2867">
            <v>33646</v>
          </cell>
          <cell r="J2867">
            <v>17.510000000000002</v>
          </cell>
          <cell r="K2867">
            <v>16.434799999999999</v>
          </cell>
        </row>
        <row r="2868">
          <cell r="A2868">
            <v>33647</v>
          </cell>
          <cell r="J2868">
            <v>18.07</v>
          </cell>
          <cell r="K2868">
            <v>17.3597</v>
          </cell>
        </row>
        <row r="2869">
          <cell r="A2869">
            <v>33648</v>
          </cell>
          <cell r="J2869">
            <v>17.329999999999998</v>
          </cell>
          <cell r="K2869">
            <v>17.259499999999999</v>
          </cell>
        </row>
        <row r="2870">
          <cell r="A2870">
            <v>33651</v>
          </cell>
          <cell r="J2870">
            <v>18.36</v>
          </cell>
          <cell r="K2870">
            <v>17.861699999999999</v>
          </cell>
        </row>
        <row r="2871">
          <cell r="A2871">
            <v>33652</v>
          </cell>
          <cell r="J2871">
            <v>17.93</v>
          </cell>
          <cell r="K2871">
            <v>17.290400000000002</v>
          </cell>
        </row>
        <row r="2872">
          <cell r="A2872">
            <v>33653</v>
          </cell>
          <cell r="J2872">
            <v>17.14</v>
          </cell>
          <cell r="K2872">
            <v>17.677299999999999</v>
          </cell>
        </row>
        <row r="2873">
          <cell r="A2873">
            <v>33654</v>
          </cell>
          <cell r="J2873">
            <v>16.38</v>
          </cell>
          <cell r="K2873">
            <v>17.008700000000001</v>
          </cell>
        </row>
        <row r="2874">
          <cell r="A2874">
            <v>33655</v>
          </cell>
          <cell r="J2874">
            <v>16.7</v>
          </cell>
          <cell r="K2874">
            <v>16.5365</v>
          </cell>
        </row>
        <row r="2875">
          <cell r="A2875">
            <v>33658</v>
          </cell>
          <cell r="J2875">
            <v>16.149999999999999</v>
          </cell>
          <cell r="K2875">
            <v>15.853300000000001</v>
          </cell>
        </row>
        <row r="2876">
          <cell r="A2876">
            <v>33659</v>
          </cell>
          <cell r="J2876">
            <v>15.79</v>
          </cell>
          <cell r="K2876">
            <v>15.2004</v>
          </cell>
        </row>
        <row r="2877">
          <cell r="A2877">
            <v>33660</v>
          </cell>
          <cell r="J2877">
            <v>16.989999999999998</v>
          </cell>
          <cell r="K2877">
            <v>15.8072</v>
          </cell>
        </row>
        <row r="2878">
          <cell r="A2878">
            <v>33661</v>
          </cell>
          <cell r="J2878">
            <v>17.010000000000002</v>
          </cell>
          <cell r="K2878">
            <v>15.411199999999999</v>
          </cell>
        </row>
        <row r="2879">
          <cell r="A2879">
            <v>33662</v>
          </cell>
          <cell r="J2879">
            <v>16.64</v>
          </cell>
          <cell r="K2879">
            <v>15.170199999999999</v>
          </cell>
        </row>
        <row r="2880">
          <cell r="A2880">
            <v>33665</v>
          </cell>
          <cell r="J2880">
            <v>16.14</v>
          </cell>
          <cell r="K2880">
            <v>14.9131</v>
          </cell>
        </row>
        <row r="2881">
          <cell r="A2881">
            <v>33666</v>
          </cell>
          <cell r="J2881">
            <v>15.55</v>
          </cell>
          <cell r="K2881">
            <v>14.487299999999999</v>
          </cell>
        </row>
        <row r="2882">
          <cell r="A2882">
            <v>33667</v>
          </cell>
          <cell r="J2882">
            <v>16.579999999999998</v>
          </cell>
          <cell r="K2882">
            <v>15.234500000000001</v>
          </cell>
        </row>
        <row r="2883">
          <cell r="A2883">
            <v>33668</v>
          </cell>
          <cell r="J2883">
            <v>16.03</v>
          </cell>
          <cell r="K2883">
            <v>15.3718</v>
          </cell>
        </row>
        <row r="2884">
          <cell r="A2884">
            <v>33669</v>
          </cell>
          <cell r="J2884">
            <v>17.72</v>
          </cell>
          <cell r="K2884">
            <v>17.4437</v>
          </cell>
        </row>
        <row r="2885">
          <cell r="A2885">
            <v>33672</v>
          </cell>
          <cell r="J2885">
            <v>17.07</v>
          </cell>
          <cell r="K2885">
            <v>17.063500000000001</v>
          </cell>
        </row>
        <row r="2886">
          <cell r="A2886">
            <v>33673</v>
          </cell>
          <cell r="J2886">
            <v>16.66</v>
          </cell>
          <cell r="K2886">
            <v>16.321200000000001</v>
          </cell>
        </row>
        <row r="2887">
          <cell r="A2887">
            <v>33674</v>
          </cell>
          <cell r="J2887">
            <v>16.09</v>
          </cell>
          <cell r="K2887">
            <v>15.7121</v>
          </cell>
        </row>
        <row r="2888">
          <cell r="A2888">
            <v>33675</v>
          </cell>
          <cell r="J2888">
            <v>17.170000000000002</v>
          </cell>
          <cell r="K2888">
            <v>17.228200000000001</v>
          </cell>
        </row>
        <row r="2889">
          <cell r="A2889">
            <v>33676</v>
          </cell>
          <cell r="J2889">
            <v>19.18</v>
          </cell>
          <cell r="K2889">
            <v>18.758700000000001</v>
          </cell>
        </row>
        <row r="2890">
          <cell r="A2890">
            <v>33679</v>
          </cell>
          <cell r="J2890">
            <v>18.13</v>
          </cell>
          <cell r="K2890">
            <v>17.816800000000001</v>
          </cell>
        </row>
        <row r="2891">
          <cell r="A2891">
            <v>33680</v>
          </cell>
          <cell r="J2891">
            <v>17.82</v>
          </cell>
          <cell r="K2891">
            <v>17.1372</v>
          </cell>
        </row>
        <row r="2892">
          <cell r="A2892">
            <v>33681</v>
          </cell>
          <cell r="J2892">
            <v>17.97</v>
          </cell>
          <cell r="K2892">
            <v>17.045500000000001</v>
          </cell>
        </row>
        <row r="2893">
          <cell r="A2893">
            <v>33682</v>
          </cell>
          <cell r="J2893">
            <v>17.899999999999999</v>
          </cell>
          <cell r="K2893">
            <v>17.279499999999999</v>
          </cell>
        </row>
        <row r="2894">
          <cell r="A2894">
            <v>33683</v>
          </cell>
          <cell r="J2894">
            <v>18.34</v>
          </cell>
          <cell r="K2894">
            <v>17.782599999999999</v>
          </cell>
        </row>
        <row r="2895">
          <cell r="A2895">
            <v>33686</v>
          </cell>
          <cell r="J2895">
            <v>18.010000000000002</v>
          </cell>
          <cell r="K2895">
            <v>17.5656</v>
          </cell>
        </row>
        <row r="2896">
          <cell r="A2896">
            <v>33687</v>
          </cell>
          <cell r="J2896">
            <v>18.649999999999999</v>
          </cell>
          <cell r="K2896">
            <v>17.3749</v>
          </cell>
        </row>
        <row r="2897">
          <cell r="A2897">
            <v>33688</v>
          </cell>
          <cell r="J2897">
            <v>17.78</v>
          </cell>
          <cell r="K2897">
            <v>16.931000000000001</v>
          </cell>
        </row>
        <row r="2898">
          <cell r="A2898">
            <v>33689</v>
          </cell>
          <cell r="J2898">
            <v>19.64</v>
          </cell>
          <cell r="K2898">
            <v>16.817699999999999</v>
          </cell>
        </row>
        <row r="2899">
          <cell r="A2899">
            <v>33690</v>
          </cell>
          <cell r="J2899">
            <v>18.510000000000002</v>
          </cell>
          <cell r="K2899">
            <v>16.039200000000001</v>
          </cell>
        </row>
        <row r="2900">
          <cell r="A2900">
            <v>33693</v>
          </cell>
          <cell r="J2900">
            <v>17.89</v>
          </cell>
          <cell r="K2900">
            <v>16.2258</v>
          </cell>
        </row>
        <row r="2901">
          <cell r="A2901">
            <v>33694</v>
          </cell>
          <cell r="J2901">
            <v>17.559999999999999</v>
          </cell>
          <cell r="K2901">
            <v>15.8847</v>
          </cell>
        </row>
        <row r="2902">
          <cell r="A2902">
            <v>33695</v>
          </cell>
          <cell r="J2902">
            <v>16.73</v>
          </cell>
          <cell r="K2902">
            <v>15.3528</v>
          </cell>
        </row>
        <row r="2903">
          <cell r="A2903">
            <v>33696</v>
          </cell>
          <cell r="J2903">
            <v>17.93</v>
          </cell>
          <cell r="K2903">
            <v>17.0398</v>
          </cell>
        </row>
        <row r="2904">
          <cell r="A2904">
            <v>33697</v>
          </cell>
          <cell r="J2904">
            <v>18.05</v>
          </cell>
          <cell r="K2904">
            <v>16.4072</v>
          </cell>
        </row>
        <row r="2905">
          <cell r="A2905">
            <v>33700</v>
          </cell>
          <cell r="J2905">
            <v>17.739999999999998</v>
          </cell>
          <cell r="K2905">
            <v>15.808999999999999</v>
          </cell>
        </row>
        <row r="2906">
          <cell r="A2906">
            <v>33701</v>
          </cell>
          <cell r="J2906">
            <v>19.239999999999998</v>
          </cell>
          <cell r="K2906">
            <v>16.569700000000001</v>
          </cell>
        </row>
        <row r="2907">
          <cell r="A2907">
            <v>33702</v>
          </cell>
          <cell r="J2907">
            <v>18.309999999999999</v>
          </cell>
          <cell r="K2907">
            <v>16.2803</v>
          </cell>
        </row>
        <row r="2908">
          <cell r="A2908">
            <v>33703</v>
          </cell>
          <cell r="J2908">
            <v>25.6</v>
          </cell>
          <cell r="K2908">
            <v>19.747499999999999</v>
          </cell>
        </row>
        <row r="2909">
          <cell r="A2909">
            <v>33704</v>
          </cell>
          <cell r="J2909">
            <v>24.16</v>
          </cell>
          <cell r="K2909">
            <v>19.8401</v>
          </cell>
        </row>
        <row r="2910">
          <cell r="A2910">
            <v>33707</v>
          </cell>
          <cell r="J2910">
            <v>24.33</v>
          </cell>
          <cell r="K2910">
            <v>24.889399999999998</v>
          </cell>
        </row>
        <row r="2911">
          <cell r="A2911">
            <v>33708</v>
          </cell>
          <cell r="J2911">
            <v>25.25</v>
          </cell>
          <cell r="K2911">
            <v>24.215399999999999</v>
          </cell>
        </row>
        <row r="2912">
          <cell r="A2912">
            <v>33709</v>
          </cell>
          <cell r="J2912">
            <v>23.36</v>
          </cell>
          <cell r="K2912">
            <v>22.585699999999999</v>
          </cell>
        </row>
        <row r="2913">
          <cell r="A2913">
            <v>33710</v>
          </cell>
          <cell r="J2913">
            <v>21.92</v>
          </cell>
          <cell r="K2913">
            <v>21.4131</v>
          </cell>
        </row>
        <row r="2914">
          <cell r="A2914">
            <v>33711</v>
          </cell>
          <cell r="J2914">
            <v>22.34</v>
          </cell>
          <cell r="K2914">
            <v>21.568999999999999</v>
          </cell>
        </row>
        <row r="2915">
          <cell r="A2915">
            <v>33714</v>
          </cell>
          <cell r="J2915">
            <v>20.87</v>
          </cell>
          <cell r="K2915">
            <v>20.3019</v>
          </cell>
        </row>
        <row r="2916">
          <cell r="A2916">
            <v>33715</v>
          </cell>
          <cell r="J2916">
            <v>19.690000000000001</v>
          </cell>
          <cell r="K2916">
            <v>19.595600000000001</v>
          </cell>
        </row>
        <row r="2917">
          <cell r="A2917">
            <v>33716</v>
          </cell>
          <cell r="J2917">
            <v>18.62</v>
          </cell>
          <cell r="K2917">
            <v>18.5075</v>
          </cell>
        </row>
        <row r="2918">
          <cell r="A2918">
            <v>33717</v>
          </cell>
          <cell r="J2918">
            <v>17.66</v>
          </cell>
          <cell r="K2918">
            <v>17.6251</v>
          </cell>
        </row>
        <row r="2919">
          <cell r="A2919">
            <v>33718</v>
          </cell>
          <cell r="J2919">
            <v>16.920000000000002</v>
          </cell>
          <cell r="K2919">
            <v>16.791399999999999</v>
          </cell>
        </row>
        <row r="2920">
          <cell r="A2920">
            <v>33721</v>
          </cell>
          <cell r="J2920">
            <v>16.86</v>
          </cell>
          <cell r="K2920">
            <v>16.815999999999999</v>
          </cell>
        </row>
        <row r="2921">
          <cell r="A2921">
            <v>33722</v>
          </cell>
          <cell r="J2921">
            <v>16.14</v>
          </cell>
          <cell r="K2921">
            <v>16.5365</v>
          </cell>
        </row>
        <row r="2922">
          <cell r="A2922">
            <v>33723</v>
          </cell>
          <cell r="J2922">
            <v>15.53</v>
          </cell>
          <cell r="K2922">
            <v>16.150700000000001</v>
          </cell>
        </row>
        <row r="2923">
          <cell r="A2923">
            <v>33724</v>
          </cell>
          <cell r="J2923">
            <v>16.88</v>
          </cell>
          <cell r="K2923">
            <v>16.209099999999999</v>
          </cell>
        </row>
        <row r="2924">
          <cell r="A2924">
            <v>33725</v>
          </cell>
          <cell r="J2924">
            <v>16.52</v>
          </cell>
          <cell r="K2924">
            <v>15.9618</v>
          </cell>
        </row>
        <row r="2925">
          <cell r="A2925">
            <v>33728</v>
          </cell>
          <cell r="J2925">
            <v>15.91</v>
          </cell>
          <cell r="K2925">
            <v>15.398</v>
          </cell>
        </row>
        <row r="2926">
          <cell r="A2926">
            <v>33729</v>
          </cell>
          <cell r="J2926">
            <v>15.54</v>
          </cell>
          <cell r="K2926">
            <v>14.916700000000001</v>
          </cell>
        </row>
        <row r="2927">
          <cell r="A2927">
            <v>33730</v>
          </cell>
          <cell r="J2927">
            <v>15.08</v>
          </cell>
          <cell r="K2927">
            <v>14.5471</v>
          </cell>
        </row>
        <row r="2928">
          <cell r="A2928">
            <v>33731</v>
          </cell>
          <cell r="J2928">
            <v>14.65</v>
          </cell>
          <cell r="K2928">
            <v>14.829700000000001</v>
          </cell>
        </row>
        <row r="2929">
          <cell r="A2929">
            <v>33732</v>
          </cell>
          <cell r="J2929">
            <v>14.71</v>
          </cell>
          <cell r="K2929">
            <v>14.7685</v>
          </cell>
        </row>
        <row r="2930">
          <cell r="A2930">
            <v>33735</v>
          </cell>
          <cell r="J2930">
            <v>15.63</v>
          </cell>
          <cell r="K2930">
            <v>15.120699999999999</v>
          </cell>
        </row>
        <row r="2931">
          <cell r="A2931">
            <v>33736</v>
          </cell>
          <cell r="J2931">
            <v>15.77</v>
          </cell>
          <cell r="K2931">
            <v>14.8148</v>
          </cell>
        </row>
        <row r="2932">
          <cell r="A2932">
            <v>33737</v>
          </cell>
          <cell r="J2932">
            <v>15.23</v>
          </cell>
          <cell r="K2932">
            <v>14.3131</v>
          </cell>
        </row>
        <row r="2933">
          <cell r="A2933">
            <v>33738</v>
          </cell>
          <cell r="J2933">
            <v>14.83</v>
          </cell>
          <cell r="K2933">
            <v>13.9053</v>
          </cell>
        </row>
        <row r="2934">
          <cell r="A2934">
            <v>33739</v>
          </cell>
          <cell r="J2934">
            <v>16.21</v>
          </cell>
          <cell r="K2934">
            <v>14.857900000000001</v>
          </cell>
        </row>
        <row r="2935">
          <cell r="A2935">
            <v>33742</v>
          </cell>
          <cell r="J2935">
            <v>15.63</v>
          </cell>
          <cell r="K2935">
            <v>15.828799999999999</v>
          </cell>
        </row>
        <row r="2936">
          <cell r="A2936">
            <v>33743</v>
          </cell>
          <cell r="J2936">
            <v>17.989999999999998</v>
          </cell>
          <cell r="K2936">
            <v>16.759899999999998</v>
          </cell>
        </row>
        <row r="2937">
          <cell r="A2937">
            <v>33744</v>
          </cell>
          <cell r="J2937">
            <v>18.27</v>
          </cell>
          <cell r="K2937">
            <v>16.726400000000002</v>
          </cell>
        </row>
        <row r="2938">
          <cell r="A2938">
            <v>33745</v>
          </cell>
          <cell r="J2938">
            <v>17.5</v>
          </cell>
          <cell r="K2938">
            <v>16.1145</v>
          </cell>
        </row>
        <row r="2939">
          <cell r="A2939">
            <v>33746</v>
          </cell>
          <cell r="J2939">
            <v>19.489999999999998</v>
          </cell>
          <cell r="K2939">
            <v>17.705200000000001</v>
          </cell>
        </row>
        <row r="2940">
          <cell r="A2940">
            <v>33749</v>
          </cell>
          <cell r="J2940">
            <v>19</v>
          </cell>
          <cell r="K2940">
            <v>17.029299999999999</v>
          </cell>
        </row>
        <row r="2941">
          <cell r="A2941">
            <v>33750</v>
          </cell>
          <cell r="J2941">
            <v>17.95</v>
          </cell>
          <cell r="K2941">
            <v>16.2776</v>
          </cell>
        </row>
        <row r="2942">
          <cell r="A2942">
            <v>33751</v>
          </cell>
          <cell r="J2942">
            <v>17.25</v>
          </cell>
          <cell r="K2942">
            <v>15.9247</v>
          </cell>
        </row>
        <row r="2943">
          <cell r="A2943">
            <v>33752</v>
          </cell>
          <cell r="J2943">
            <v>20.81</v>
          </cell>
          <cell r="K2943">
            <v>19.231000000000002</v>
          </cell>
        </row>
        <row r="2944">
          <cell r="A2944">
            <v>33753</v>
          </cell>
          <cell r="J2944">
            <v>19.5</v>
          </cell>
          <cell r="K2944">
            <v>18.183599999999998</v>
          </cell>
        </row>
        <row r="2945">
          <cell r="A2945">
            <v>33756</v>
          </cell>
          <cell r="J2945">
            <v>20.98</v>
          </cell>
          <cell r="K2945">
            <v>18.218599999999999</v>
          </cell>
        </row>
        <row r="2946">
          <cell r="A2946">
            <v>33757</v>
          </cell>
          <cell r="J2946">
            <v>20.170000000000002</v>
          </cell>
          <cell r="K2946">
            <v>17.651299999999999</v>
          </cell>
        </row>
        <row r="2947">
          <cell r="A2947">
            <v>33758</v>
          </cell>
          <cell r="J2947">
            <v>19.18</v>
          </cell>
          <cell r="K2947">
            <v>17.2179</v>
          </cell>
        </row>
        <row r="2948">
          <cell r="A2948">
            <v>33759</v>
          </cell>
          <cell r="J2948">
            <v>19.989999999999998</v>
          </cell>
          <cell r="K2948">
            <v>17.9559</v>
          </cell>
        </row>
        <row r="2949">
          <cell r="A2949">
            <v>33760</v>
          </cell>
          <cell r="J2949">
            <v>18.82</v>
          </cell>
          <cell r="K2949">
            <v>17.051100000000002</v>
          </cell>
        </row>
        <row r="2950">
          <cell r="A2950">
            <v>33763</v>
          </cell>
          <cell r="J2950">
            <v>17.809999999999999</v>
          </cell>
          <cell r="K2950">
            <v>16.261399999999998</v>
          </cell>
        </row>
        <row r="2951">
          <cell r="A2951">
            <v>33764</v>
          </cell>
          <cell r="J2951">
            <v>16.98</v>
          </cell>
          <cell r="K2951">
            <v>15.9156</v>
          </cell>
        </row>
        <row r="2952">
          <cell r="A2952">
            <v>33765</v>
          </cell>
          <cell r="J2952">
            <v>17.010000000000002</v>
          </cell>
          <cell r="K2952">
            <v>15.838900000000001</v>
          </cell>
        </row>
        <row r="2953">
          <cell r="A2953">
            <v>33766</v>
          </cell>
          <cell r="J2953">
            <v>17.809999999999999</v>
          </cell>
          <cell r="K2953">
            <v>16.743400000000001</v>
          </cell>
        </row>
        <row r="2954">
          <cell r="A2954">
            <v>33767</v>
          </cell>
          <cell r="J2954">
            <v>17.55</v>
          </cell>
          <cell r="K2954">
            <v>16.5276</v>
          </cell>
        </row>
        <row r="2955">
          <cell r="A2955">
            <v>33770</v>
          </cell>
          <cell r="J2955">
            <v>16.87</v>
          </cell>
          <cell r="K2955">
            <v>15.835699999999999</v>
          </cell>
        </row>
        <row r="2956">
          <cell r="A2956">
            <v>33771</v>
          </cell>
          <cell r="J2956">
            <v>16.809999999999999</v>
          </cell>
          <cell r="K2956">
            <v>15.803000000000001</v>
          </cell>
        </row>
        <row r="2957">
          <cell r="A2957">
            <v>33772</v>
          </cell>
          <cell r="J2957">
            <v>16.170000000000002</v>
          </cell>
          <cell r="K2957">
            <v>15.2699</v>
          </cell>
        </row>
        <row r="2958">
          <cell r="A2958">
            <v>33773</v>
          </cell>
          <cell r="J2958">
            <v>18.21</v>
          </cell>
          <cell r="K2958">
            <v>17.292899999999999</v>
          </cell>
        </row>
        <row r="2959">
          <cell r="A2959">
            <v>33774</v>
          </cell>
          <cell r="J2959">
            <v>17.690000000000001</v>
          </cell>
          <cell r="K2959">
            <v>17.4514</v>
          </cell>
        </row>
        <row r="2960">
          <cell r="A2960">
            <v>33777</v>
          </cell>
          <cell r="J2960">
            <v>17.05</v>
          </cell>
          <cell r="K2960">
            <v>16.7728</v>
          </cell>
        </row>
        <row r="2961">
          <cell r="A2961">
            <v>33778</v>
          </cell>
          <cell r="J2961">
            <v>17.920000000000002</v>
          </cell>
          <cell r="K2961">
            <v>17.353999999999999</v>
          </cell>
        </row>
        <row r="2962">
          <cell r="A2962">
            <v>33779</v>
          </cell>
          <cell r="J2962">
            <v>17.440000000000001</v>
          </cell>
          <cell r="K2962">
            <v>16.581900000000001</v>
          </cell>
        </row>
        <row r="2963">
          <cell r="A2963">
            <v>33780</v>
          </cell>
          <cell r="J2963">
            <v>16.66</v>
          </cell>
          <cell r="K2963">
            <v>16.271999999999998</v>
          </cell>
        </row>
        <row r="2964">
          <cell r="A2964">
            <v>33781</v>
          </cell>
          <cell r="J2964">
            <v>17.96</v>
          </cell>
          <cell r="K2964">
            <v>16.713000000000001</v>
          </cell>
        </row>
        <row r="2965">
          <cell r="A2965">
            <v>33784</v>
          </cell>
          <cell r="J2965">
            <v>17.2</v>
          </cell>
          <cell r="K2965">
            <v>16.959199999999999</v>
          </cell>
        </row>
        <row r="2966">
          <cell r="A2966">
            <v>33785</v>
          </cell>
          <cell r="J2966">
            <v>16.63</v>
          </cell>
          <cell r="K2966">
            <v>16.613499999999998</v>
          </cell>
        </row>
        <row r="2967">
          <cell r="A2967">
            <v>33786</v>
          </cell>
          <cell r="J2967">
            <v>16.47</v>
          </cell>
          <cell r="K2967">
            <v>16.359000000000002</v>
          </cell>
        </row>
        <row r="2968">
          <cell r="A2968">
            <v>33787</v>
          </cell>
          <cell r="J2968">
            <v>16.170000000000002</v>
          </cell>
          <cell r="K2968">
            <v>16.433299999999999</v>
          </cell>
        </row>
        <row r="2969">
          <cell r="A2969">
            <v>33788</v>
          </cell>
          <cell r="J2969">
            <v>15.66</v>
          </cell>
          <cell r="K2969">
            <v>16.048999999999999</v>
          </cell>
        </row>
        <row r="2970">
          <cell r="A2970">
            <v>33791</v>
          </cell>
          <cell r="J2970">
            <v>15.14</v>
          </cell>
          <cell r="K2970">
            <v>15.5343</v>
          </cell>
        </row>
        <row r="2971">
          <cell r="A2971">
            <v>33792</v>
          </cell>
          <cell r="J2971">
            <v>15.18</v>
          </cell>
          <cell r="K2971">
            <v>15.643800000000001</v>
          </cell>
        </row>
        <row r="2972">
          <cell r="A2972">
            <v>33793</v>
          </cell>
          <cell r="J2972">
            <v>15.64</v>
          </cell>
          <cell r="K2972">
            <v>15.6709</v>
          </cell>
        </row>
        <row r="2973">
          <cell r="A2973">
            <v>33794</v>
          </cell>
          <cell r="J2973">
            <v>17.89</v>
          </cell>
          <cell r="K2973">
            <v>16.733799999999999</v>
          </cell>
        </row>
        <row r="2974">
          <cell r="A2974">
            <v>33795</v>
          </cell>
          <cell r="J2974">
            <v>17.23</v>
          </cell>
          <cell r="K2974">
            <v>16.172000000000001</v>
          </cell>
        </row>
        <row r="2975">
          <cell r="A2975">
            <v>33798</v>
          </cell>
          <cell r="J2975">
            <v>16.54</v>
          </cell>
          <cell r="K2975">
            <v>15.6068</v>
          </cell>
        </row>
        <row r="2976">
          <cell r="A2976">
            <v>33799</v>
          </cell>
          <cell r="J2976">
            <v>17.59</v>
          </cell>
          <cell r="K2976">
            <v>15.3436</v>
          </cell>
        </row>
        <row r="2977">
          <cell r="A2977">
            <v>33800</v>
          </cell>
          <cell r="J2977">
            <v>17.05</v>
          </cell>
          <cell r="K2977">
            <v>15.1572</v>
          </cell>
        </row>
        <row r="2978">
          <cell r="A2978">
            <v>33801</v>
          </cell>
          <cell r="J2978">
            <v>16.34</v>
          </cell>
          <cell r="K2978">
            <v>14.6906</v>
          </cell>
        </row>
        <row r="2979">
          <cell r="A2979">
            <v>33802</v>
          </cell>
          <cell r="J2979">
            <v>15.73</v>
          </cell>
          <cell r="K2979">
            <v>14.196300000000001</v>
          </cell>
        </row>
        <row r="2980">
          <cell r="A2980">
            <v>33805</v>
          </cell>
          <cell r="J2980">
            <v>19.5</v>
          </cell>
          <cell r="K2980">
            <v>16.707599999999999</v>
          </cell>
        </row>
        <row r="2981">
          <cell r="A2981">
            <v>33806</v>
          </cell>
          <cell r="J2981">
            <v>19.170000000000002</v>
          </cell>
          <cell r="K2981">
            <v>17.092500000000001</v>
          </cell>
        </row>
        <row r="2982">
          <cell r="A2982">
            <v>33807</v>
          </cell>
          <cell r="J2982">
            <v>26.27</v>
          </cell>
          <cell r="K2982">
            <v>24.735199999999999</v>
          </cell>
        </row>
        <row r="2983">
          <cell r="A2983">
            <v>33808</v>
          </cell>
          <cell r="J2983">
            <v>25.48</v>
          </cell>
          <cell r="K2983">
            <v>23.908200000000001</v>
          </cell>
        </row>
        <row r="2984">
          <cell r="A2984">
            <v>33809</v>
          </cell>
          <cell r="J2984">
            <v>23.55</v>
          </cell>
          <cell r="K2984">
            <v>22.1937</v>
          </cell>
        </row>
        <row r="2985">
          <cell r="A2985">
            <v>33812</v>
          </cell>
          <cell r="J2985">
            <v>22.5</v>
          </cell>
          <cell r="K2985">
            <v>22.441099999999999</v>
          </cell>
        </row>
        <row r="2986">
          <cell r="A2986">
            <v>33813</v>
          </cell>
          <cell r="J2986">
            <v>23.2</v>
          </cell>
          <cell r="K2986">
            <v>21.5625</v>
          </cell>
        </row>
        <row r="2987">
          <cell r="A2987">
            <v>33814</v>
          </cell>
          <cell r="J2987">
            <v>22.49</v>
          </cell>
          <cell r="K2987">
            <v>20.717700000000001</v>
          </cell>
        </row>
        <row r="2988">
          <cell r="A2988">
            <v>33815</v>
          </cell>
          <cell r="J2988">
            <v>21.76</v>
          </cell>
          <cell r="K2988">
            <v>20.191099999999999</v>
          </cell>
        </row>
        <row r="2989">
          <cell r="A2989">
            <v>33816</v>
          </cell>
          <cell r="J2989">
            <v>22.17</v>
          </cell>
          <cell r="K2989">
            <v>20.367000000000001</v>
          </cell>
        </row>
        <row r="2990">
          <cell r="A2990">
            <v>33819</v>
          </cell>
          <cell r="J2990">
            <v>21.66</v>
          </cell>
          <cell r="K2990">
            <v>19.550799999999999</v>
          </cell>
        </row>
        <row r="2991">
          <cell r="A2991">
            <v>33820</v>
          </cell>
          <cell r="J2991">
            <v>21.35</v>
          </cell>
          <cell r="K2991">
            <v>19.579000000000001</v>
          </cell>
        </row>
        <row r="2992">
          <cell r="A2992">
            <v>33821</v>
          </cell>
          <cell r="J2992">
            <v>19.96</v>
          </cell>
          <cell r="K2992">
            <v>18.688099999999999</v>
          </cell>
        </row>
        <row r="2993">
          <cell r="A2993">
            <v>33822</v>
          </cell>
          <cell r="J2993">
            <v>18.79</v>
          </cell>
          <cell r="K2993">
            <v>17.8367</v>
          </cell>
        </row>
        <row r="2994">
          <cell r="A2994">
            <v>33823</v>
          </cell>
          <cell r="J2994">
            <v>18.649999999999999</v>
          </cell>
          <cell r="K2994">
            <v>18.367699999999999</v>
          </cell>
        </row>
        <row r="2995">
          <cell r="A2995">
            <v>33826</v>
          </cell>
          <cell r="J2995">
            <v>17.79</v>
          </cell>
          <cell r="K2995">
            <v>17.677099999999999</v>
          </cell>
        </row>
        <row r="2996">
          <cell r="A2996">
            <v>33827</v>
          </cell>
          <cell r="J2996">
            <v>18.34</v>
          </cell>
          <cell r="K2996">
            <v>18.386600000000001</v>
          </cell>
        </row>
        <row r="2997">
          <cell r="A2997">
            <v>33828</v>
          </cell>
          <cell r="J2997">
            <v>18.93</v>
          </cell>
          <cell r="K2997">
            <v>19.341899999999999</v>
          </cell>
        </row>
        <row r="2998">
          <cell r="A2998">
            <v>33829</v>
          </cell>
          <cell r="J2998">
            <v>18.010000000000002</v>
          </cell>
          <cell r="K2998">
            <v>18.3034</v>
          </cell>
        </row>
        <row r="2999">
          <cell r="A2999">
            <v>33830</v>
          </cell>
          <cell r="J2999">
            <v>17.28</v>
          </cell>
          <cell r="K2999">
            <v>17.463999999999999</v>
          </cell>
        </row>
        <row r="3000">
          <cell r="A3000">
            <v>33833</v>
          </cell>
          <cell r="J3000">
            <v>17.170000000000002</v>
          </cell>
          <cell r="K3000">
            <v>16.9131</v>
          </cell>
        </row>
        <row r="3001">
          <cell r="A3001">
            <v>33834</v>
          </cell>
          <cell r="J3001">
            <v>16.41</v>
          </cell>
          <cell r="K3001">
            <v>16.155899999999999</v>
          </cell>
        </row>
        <row r="3002">
          <cell r="A3002">
            <v>33835</v>
          </cell>
          <cell r="J3002">
            <v>16.39</v>
          </cell>
          <cell r="K3002">
            <v>16.134899999999998</v>
          </cell>
        </row>
        <row r="3003">
          <cell r="A3003">
            <v>33836</v>
          </cell>
          <cell r="J3003">
            <v>15.88</v>
          </cell>
          <cell r="K3003">
            <v>15.6898</v>
          </cell>
        </row>
        <row r="3004">
          <cell r="A3004">
            <v>33837</v>
          </cell>
          <cell r="J3004">
            <v>15.43</v>
          </cell>
          <cell r="K3004">
            <v>15.1373</v>
          </cell>
        </row>
        <row r="3005">
          <cell r="A3005">
            <v>33840</v>
          </cell>
          <cell r="J3005">
            <v>15.15</v>
          </cell>
          <cell r="K3005">
            <v>15.500299999999999</v>
          </cell>
        </row>
        <row r="3006">
          <cell r="A3006">
            <v>33841</v>
          </cell>
          <cell r="J3006">
            <v>14.71</v>
          </cell>
          <cell r="K3006">
            <v>16.174600000000002</v>
          </cell>
        </row>
        <row r="3007">
          <cell r="A3007">
            <v>33842</v>
          </cell>
          <cell r="J3007">
            <v>16.920000000000002</v>
          </cell>
          <cell r="K3007">
            <v>17.9084</v>
          </cell>
        </row>
        <row r="3008">
          <cell r="A3008">
            <v>33843</v>
          </cell>
          <cell r="J3008">
            <v>16.21</v>
          </cell>
          <cell r="K3008">
            <v>16.947299999999998</v>
          </cell>
        </row>
        <row r="3009">
          <cell r="A3009">
            <v>33844</v>
          </cell>
          <cell r="J3009">
            <v>15.64</v>
          </cell>
          <cell r="K3009">
            <v>16.585799999999999</v>
          </cell>
        </row>
        <row r="3010">
          <cell r="A3010">
            <v>33847</v>
          </cell>
          <cell r="J3010">
            <v>15.13</v>
          </cell>
          <cell r="K3010">
            <v>15.8932</v>
          </cell>
        </row>
        <row r="3011">
          <cell r="A3011">
            <v>33848</v>
          </cell>
          <cell r="J3011">
            <v>14.77</v>
          </cell>
          <cell r="K3011">
            <v>16.168099999999999</v>
          </cell>
        </row>
        <row r="3012">
          <cell r="A3012">
            <v>33849</v>
          </cell>
          <cell r="J3012">
            <v>14.42</v>
          </cell>
          <cell r="K3012">
            <v>15.6873</v>
          </cell>
        </row>
        <row r="3013">
          <cell r="A3013">
            <v>33850</v>
          </cell>
          <cell r="J3013">
            <v>18.59</v>
          </cell>
          <cell r="K3013">
            <v>17.559200000000001</v>
          </cell>
        </row>
        <row r="3014">
          <cell r="A3014">
            <v>33851</v>
          </cell>
          <cell r="J3014">
            <v>23.45</v>
          </cell>
          <cell r="K3014">
            <v>19.621300000000002</v>
          </cell>
        </row>
        <row r="3015">
          <cell r="A3015">
            <v>33854</v>
          </cell>
          <cell r="J3015">
            <v>22.88</v>
          </cell>
          <cell r="K3015">
            <v>20.052900000000001</v>
          </cell>
        </row>
        <row r="3016">
          <cell r="A3016">
            <v>33855</v>
          </cell>
          <cell r="J3016">
            <v>21.32</v>
          </cell>
          <cell r="K3016">
            <v>18.805700000000002</v>
          </cell>
        </row>
        <row r="3017">
          <cell r="A3017">
            <v>33856</v>
          </cell>
          <cell r="J3017">
            <v>20.25</v>
          </cell>
          <cell r="K3017">
            <v>18.988299999999999</v>
          </cell>
        </row>
        <row r="3018">
          <cell r="A3018">
            <v>33857</v>
          </cell>
          <cell r="J3018">
            <v>21.06</v>
          </cell>
          <cell r="K3018">
            <v>19.858599999999999</v>
          </cell>
        </row>
        <row r="3019">
          <cell r="A3019">
            <v>33858</v>
          </cell>
          <cell r="J3019">
            <v>19.75</v>
          </cell>
          <cell r="K3019">
            <v>19.734400000000001</v>
          </cell>
        </row>
        <row r="3020">
          <cell r="A3020">
            <v>33861</v>
          </cell>
          <cell r="J3020">
            <v>18.77</v>
          </cell>
          <cell r="K3020">
            <v>19.3142</v>
          </cell>
        </row>
        <row r="3021">
          <cell r="A3021">
            <v>33862</v>
          </cell>
          <cell r="J3021">
            <v>17.8</v>
          </cell>
          <cell r="K3021">
            <v>18.706199999999999</v>
          </cell>
        </row>
        <row r="3022">
          <cell r="A3022">
            <v>33863</v>
          </cell>
          <cell r="J3022">
            <v>17.79</v>
          </cell>
          <cell r="K3022">
            <v>19.064900000000002</v>
          </cell>
        </row>
        <row r="3023">
          <cell r="A3023">
            <v>33864</v>
          </cell>
          <cell r="J3023">
            <v>20.92</v>
          </cell>
          <cell r="K3023">
            <v>24.634</v>
          </cell>
        </row>
        <row r="3024">
          <cell r="A3024">
            <v>33865</v>
          </cell>
          <cell r="J3024">
            <v>19.600000000000001</v>
          </cell>
          <cell r="K3024">
            <v>24.2315</v>
          </cell>
        </row>
        <row r="3025">
          <cell r="A3025">
            <v>33868</v>
          </cell>
          <cell r="J3025">
            <v>19.489999999999998</v>
          </cell>
          <cell r="K3025">
            <v>23.007100000000001</v>
          </cell>
        </row>
        <row r="3026">
          <cell r="A3026">
            <v>33869</v>
          </cell>
          <cell r="J3026">
            <v>23.83</v>
          </cell>
          <cell r="K3026">
            <v>24.1189</v>
          </cell>
        </row>
        <row r="3027">
          <cell r="A3027">
            <v>33870</v>
          </cell>
          <cell r="J3027">
            <v>22.56</v>
          </cell>
          <cell r="K3027">
            <v>22.802900000000001</v>
          </cell>
        </row>
        <row r="3028">
          <cell r="A3028">
            <v>33871</v>
          </cell>
          <cell r="J3028">
            <v>23.23</v>
          </cell>
          <cell r="K3028">
            <v>23.083500000000001</v>
          </cell>
        </row>
        <row r="3029">
          <cell r="A3029">
            <v>33872</v>
          </cell>
          <cell r="J3029">
            <v>22.34</v>
          </cell>
          <cell r="K3029">
            <v>22.692499999999999</v>
          </cell>
        </row>
        <row r="3030">
          <cell r="A3030">
            <v>33875</v>
          </cell>
          <cell r="J3030">
            <v>22.57</v>
          </cell>
          <cell r="K3030">
            <v>22.2866</v>
          </cell>
        </row>
        <row r="3031">
          <cell r="A3031">
            <v>33876</v>
          </cell>
          <cell r="J3031">
            <v>23.14</v>
          </cell>
          <cell r="K3031">
            <v>21.6922</v>
          </cell>
        </row>
        <row r="3032">
          <cell r="A3032">
            <v>33877</v>
          </cell>
          <cell r="J3032">
            <v>21.96</v>
          </cell>
          <cell r="K3032">
            <v>21.7758</v>
          </cell>
        </row>
        <row r="3033">
          <cell r="A3033">
            <v>33878</v>
          </cell>
          <cell r="J3033">
            <v>21.71</v>
          </cell>
          <cell r="K3033">
            <v>20.696000000000002</v>
          </cell>
        </row>
        <row r="3034">
          <cell r="A3034">
            <v>33879</v>
          </cell>
          <cell r="J3034">
            <v>21.64</v>
          </cell>
          <cell r="K3034">
            <v>20.485499999999998</v>
          </cell>
        </row>
        <row r="3035">
          <cell r="A3035">
            <v>33882</v>
          </cell>
          <cell r="J3035">
            <v>23.04</v>
          </cell>
          <cell r="K3035">
            <v>22.470099999999999</v>
          </cell>
        </row>
        <row r="3036">
          <cell r="A3036">
            <v>33883</v>
          </cell>
          <cell r="J3036">
            <v>28.74</v>
          </cell>
          <cell r="K3036">
            <v>27.485600000000002</v>
          </cell>
        </row>
        <row r="3037">
          <cell r="A3037">
            <v>33884</v>
          </cell>
          <cell r="J3037">
            <v>29.43</v>
          </cell>
          <cell r="K3037">
            <v>27.309000000000001</v>
          </cell>
        </row>
        <row r="3038">
          <cell r="A3038">
            <v>33885</v>
          </cell>
          <cell r="J3038">
            <v>28.64</v>
          </cell>
          <cell r="K3038">
            <v>26.0486</v>
          </cell>
        </row>
        <row r="3039">
          <cell r="A3039">
            <v>33886</v>
          </cell>
          <cell r="J3039">
            <v>27.74</v>
          </cell>
          <cell r="K3039">
            <v>25.4224</v>
          </cell>
        </row>
        <row r="3040">
          <cell r="A3040">
            <v>33889</v>
          </cell>
          <cell r="J3040">
            <v>27.48</v>
          </cell>
          <cell r="K3040">
            <v>24.954499999999999</v>
          </cell>
        </row>
        <row r="3041">
          <cell r="A3041">
            <v>33890</v>
          </cell>
          <cell r="J3041">
            <v>25.36</v>
          </cell>
          <cell r="K3041">
            <v>23.476199999999999</v>
          </cell>
        </row>
        <row r="3042">
          <cell r="A3042">
            <v>33891</v>
          </cell>
          <cell r="J3042">
            <v>24.62</v>
          </cell>
          <cell r="K3042">
            <v>22.659700000000001</v>
          </cell>
        </row>
        <row r="3043">
          <cell r="A3043">
            <v>33892</v>
          </cell>
          <cell r="J3043">
            <v>22.9</v>
          </cell>
          <cell r="K3043">
            <v>21.552299999999999</v>
          </cell>
        </row>
        <row r="3044">
          <cell r="A3044">
            <v>33893</v>
          </cell>
          <cell r="J3044">
            <v>21.41</v>
          </cell>
          <cell r="K3044">
            <v>20.982199999999999</v>
          </cell>
        </row>
        <row r="3045">
          <cell r="A3045">
            <v>33896</v>
          </cell>
          <cell r="J3045">
            <v>20.91</v>
          </cell>
          <cell r="K3045">
            <v>21.636199999999999</v>
          </cell>
        </row>
        <row r="3046">
          <cell r="A3046">
            <v>33897</v>
          </cell>
          <cell r="J3046">
            <v>19.73</v>
          </cell>
          <cell r="K3046">
            <v>21.7043</v>
          </cell>
        </row>
        <row r="3047">
          <cell r="A3047">
            <v>33898</v>
          </cell>
          <cell r="J3047">
            <v>18.59</v>
          </cell>
          <cell r="K3047">
            <v>20.889199999999999</v>
          </cell>
        </row>
        <row r="3048">
          <cell r="A3048">
            <v>33899</v>
          </cell>
          <cell r="J3048">
            <v>17.62</v>
          </cell>
          <cell r="K3048">
            <v>19.741199999999999</v>
          </cell>
        </row>
        <row r="3049">
          <cell r="A3049">
            <v>33900</v>
          </cell>
          <cell r="J3049">
            <v>16.809999999999999</v>
          </cell>
          <cell r="K3049">
            <v>18.790600000000001</v>
          </cell>
        </row>
        <row r="3050">
          <cell r="A3050">
            <v>33903</v>
          </cell>
          <cell r="J3050">
            <v>16.239999999999998</v>
          </cell>
          <cell r="K3050">
            <v>18.412400000000002</v>
          </cell>
        </row>
        <row r="3051">
          <cell r="A3051">
            <v>33904</v>
          </cell>
          <cell r="J3051">
            <v>15.86</v>
          </cell>
          <cell r="K3051">
            <v>18.792400000000001</v>
          </cell>
        </row>
        <row r="3052">
          <cell r="A3052">
            <v>33905</v>
          </cell>
          <cell r="J3052">
            <v>15.38</v>
          </cell>
          <cell r="K3052">
            <v>17.999600000000001</v>
          </cell>
        </row>
        <row r="3053">
          <cell r="A3053">
            <v>33906</v>
          </cell>
          <cell r="J3053">
            <v>16.73</v>
          </cell>
          <cell r="K3053">
            <v>17.8034</v>
          </cell>
        </row>
        <row r="3054">
          <cell r="A3054">
            <v>33907</v>
          </cell>
          <cell r="J3054">
            <v>18.11</v>
          </cell>
          <cell r="K3054">
            <v>19.238099999999999</v>
          </cell>
        </row>
        <row r="3055">
          <cell r="A3055">
            <v>33910</v>
          </cell>
          <cell r="J3055">
            <v>17.190000000000001</v>
          </cell>
          <cell r="K3055">
            <v>18.691700000000001</v>
          </cell>
        </row>
        <row r="3056">
          <cell r="A3056">
            <v>33911</v>
          </cell>
          <cell r="J3056">
            <v>18.27</v>
          </cell>
          <cell r="K3056">
            <v>19.080100000000002</v>
          </cell>
        </row>
        <row r="3057">
          <cell r="A3057">
            <v>33912</v>
          </cell>
          <cell r="J3057">
            <v>20.68</v>
          </cell>
          <cell r="K3057">
            <v>19.217300000000002</v>
          </cell>
        </row>
        <row r="3058">
          <cell r="A3058">
            <v>33913</v>
          </cell>
          <cell r="J3058">
            <v>19.62</v>
          </cell>
          <cell r="K3058">
            <v>19.813700000000001</v>
          </cell>
        </row>
        <row r="3059">
          <cell r="A3059">
            <v>33914</v>
          </cell>
          <cell r="J3059">
            <v>19.64</v>
          </cell>
          <cell r="K3059">
            <v>19.602499999999999</v>
          </cell>
        </row>
        <row r="3060">
          <cell r="A3060">
            <v>33917</v>
          </cell>
          <cell r="J3060">
            <v>19.52</v>
          </cell>
          <cell r="K3060">
            <v>18.9877</v>
          </cell>
        </row>
        <row r="3061">
          <cell r="A3061">
            <v>33918</v>
          </cell>
          <cell r="J3061">
            <v>18.850000000000001</v>
          </cell>
          <cell r="K3061">
            <v>19.0732</v>
          </cell>
        </row>
        <row r="3062">
          <cell r="A3062">
            <v>33919</v>
          </cell>
          <cell r="J3062">
            <v>17.84</v>
          </cell>
          <cell r="K3062">
            <v>18.402699999999999</v>
          </cell>
        </row>
        <row r="3063">
          <cell r="A3063">
            <v>33920</v>
          </cell>
          <cell r="J3063">
            <v>17.010000000000002</v>
          </cell>
          <cell r="K3063">
            <v>17.615200000000002</v>
          </cell>
        </row>
        <row r="3064">
          <cell r="A3064">
            <v>33921</v>
          </cell>
          <cell r="J3064">
            <v>17.11</v>
          </cell>
          <cell r="K3064">
            <v>17.124300000000002</v>
          </cell>
        </row>
        <row r="3065">
          <cell r="A3065">
            <v>33924</v>
          </cell>
          <cell r="J3065">
            <v>16.54</v>
          </cell>
          <cell r="K3065">
            <v>17.7713</v>
          </cell>
        </row>
        <row r="3066">
          <cell r="A3066">
            <v>33925</v>
          </cell>
          <cell r="J3066">
            <v>20.3</v>
          </cell>
          <cell r="K3066">
            <v>20.009599999999999</v>
          </cell>
        </row>
        <row r="3067">
          <cell r="A3067">
            <v>33926</v>
          </cell>
          <cell r="J3067">
            <v>20.49</v>
          </cell>
          <cell r="K3067">
            <v>19.876000000000001</v>
          </cell>
        </row>
        <row r="3068">
          <cell r="A3068">
            <v>33927</v>
          </cell>
          <cell r="J3068">
            <v>19.239999999999998</v>
          </cell>
          <cell r="K3068">
            <v>18.7376</v>
          </cell>
        </row>
        <row r="3069">
          <cell r="A3069">
            <v>33928</v>
          </cell>
          <cell r="J3069">
            <v>19.89</v>
          </cell>
          <cell r="K3069">
            <v>18.912500000000001</v>
          </cell>
        </row>
        <row r="3070">
          <cell r="A3070">
            <v>33931</v>
          </cell>
          <cell r="J3070">
            <v>19.96</v>
          </cell>
          <cell r="K3070">
            <v>18.909300000000002</v>
          </cell>
        </row>
        <row r="3071">
          <cell r="A3071">
            <v>33932</v>
          </cell>
          <cell r="J3071">
            <v>27.27</v>
          </cell>
          <cell r="K3071">
            <v>22.2624</v>
          </cell>
        </row>
        <row r="3072">
          <cell r="A3072">
            <v>33933</v>
          </cell>
          <cell r="J3072">
            <v>28.4</v>
          </cell>
          <cell r="K3072">
            <v>23.7454</v>
          </cell>
        </row>
        <row r="3073">
          <cell r="A3073">
            <v>33934</v>
          </cell>
          <cell r="J3073">
            <v>26.23</v>
          </cell>
          <cell r="K3073">
            <v>22.2255</v>
          </cell>
        </row>
        <row r="3074">
          <cell r="A3074">
            <v>33935</v>
          </cell>
          <cell r="J3074">
            <v>24.23</v>
          </cell>
          <cell r="K3074">
            <v>20.8568</v>
          </cell>
        </row>
        <row r="3075">
          <cell r="A3075">
            <v>33938</v>
          </cell>
          <cell r="J3075">
            <v>22.6</v>
          </cell>
          <cell r="K3075">
            <v>20.193200000000001</v>
          </cell>
        </row>
        <row r="3076">
          <cell r="A3076">
            <v>33939</v>
          </cell>
          <cell r="J3076">
            <v>21.89</v>
          </cell>
          <cell r="K3076">
            <v>19.2881</v>
          </cell>
        </row>
        <row r="3077">
          <cell r="A3077">
            <v>33940</v>
          </cell>
          <cell r="J3077">
            <v>21.19</v>
          </cell>
          <cell r="K3077">
            <v>18.691099999999999</v>
          </cell>
        </row>
        <row r="3078">
          <cell r="A3078">
            <v>33941</v>
          </cell>
          <cell r="J3078">
            <v>19.940000000000001</v>
          </cell>
          <cell r="K3078">
            <v>17.752700000000001</v>
          </cell>
        </row>
        <row r="3079">
          <cell r="A3079">
            <v>33942</v>
          </cell>
          <cell r="J3079">
            <v>18.86</v>
          </cell>
          <cell r="K3079">
            <v>17.520199999999999</v>
          </cell>
        </row>
        <row r="3080">
          <cell r="A3080">
            <v>33945</v>
          </cell>
          <cell r="J3080">
            <v>20.43</v>
          </cell>
          <cell r="K3080">
            <v>17.938300000000002</v>
          </cell>
        </row>
        <row r="3081">
          <cell r="A3081">
            <v>33946</v>
          </cell>
          <cell r="J3081">
            <v>19.63</v>
          </cell>
          <cell r="K3081">
            <v>17.366800000000001</v>
          </cell>
        </row>
        <row r="3082">
          <cell r="A3082">
            <v>33947</v>
          </cell>
          <cell r="J3082">
            <v>18.82</v>
          </cell>
          <cell r="K3082">
            <v>17.038</v>
          </cell>
        </row>
        <row r="3083">
          <cell r="A3083">
            <v>33948</v>
          </cell>
          <cell r="J3083">
            <v>17.79</v>
          </cell>
          <cell r="K3083">
            <v>18.090199999999999</v>
          </cell>
        </row>
        <row r="3084">
          <cell r="A3084">
            <v>33949</v>
          </cell>
          <cell r="J3084">
            <v>18.57</v>
          </cell>
          <cell r="K3084">
            <v>18.562200000000001</v>
          </cell>
        </row>
        <row r="3085">
          <cell r="A3085">
            <v>33952</v>
          </cell>
          <cell r="J3085">
            <v>19.13</v>
          </cell>
          <cell r="K3085">
            <v>19.414300000000001</v>
          </cell>
        </row>
        <row r="3086">
          <cell r="A3086">
            <v>33953</v>
          </cell>
          <cell r="J3086">
            <v>18.45</v>
          </cell>
          <cell r="K3086">
            <v>18.4833</v>
          </cell>
        </row>
        <row r="3087">
          <cell r="A3087">
            <v>33954</v>
          </cell>
          <cell r="J3087">
            <v>17.48</v>
          </cell>
          <cell r="K3087">
            <v>17.5337</v>
          </cell>
        </row>
        <row r="3088">
          <cell r="A3088">
            <v>33955</v>
          </cell>
          <cell r="J3088">
            <v>16.66</v>
          </cell>
          <cell r="K3088">
            <v>16.82</v>
          </cell>
        </row>
        <row r="3089">
          <cell r="A3089">
            <v>33956</v>
          </cell>
          <cell r="J3089">
            <v>16.149999999999999</v>
          </cell>
          <cell r="K3089">
            <v>16.1036</v>
          </cell>
        </row>
        <row r="3090">
          <cell r="A3090">
            <v>33959</v>
          </cell>
          <cell r="J3090">
            <v>15.54</v>
          </cell>
          <cell r="K3090">
            <v>15.5359</v>
          </cell>
        </row>
        <row r="3091">
          <cell r="A3091">
            <v>33960</v>
          </cell>
          <cell r="J3091">
            <v>15.89</v>
          </cell>
          <cell r="K3091">
            <v>15.1038</v>
          </cell>
        </row>
        <row r="3092">
          <cell r="A3092">
            <v>33961</v>
          </cell>
          <cell r="J3092">
            <v>15.9</v>
          </cell>
          <cell r="K3092">
            <v>15.3147</v>
          </cell>
        </row>
        <row r="3093">
          <cell r="A3093">
            <v>33962</v>
          </cell>
          <cell r="J3093">
            <v>15.89</v>
          </cell>
          <cell r="K3093">
            <v>15.6714</v>
          </cell>
        </row>
        <row r="3094">
          <cell r="A3094">
            <v>33963</v>
          </cell>
          <cell r="J3094">
            <v>16.010000000000002</v>
          </cell>
          <cell r="K3094">
            <v>15.755800000000001</v>
          </cell>
        </row>
        <row r="3095">
          <cell r="A3095">
            <v>33966</v>
          </cell>
          <cell r="J3095">
            <v>15.5</v>
          </cell>
          <cell r="K3095">
            <v>15.319800000000001</v>
          </cell>
        </row>
        <row r="3096">
          <cell r="A3096">
            <v>33967</v>
          </cell>
          <cell r="J3096">
            <v>15.08</v>
          </cell>
          <cell r="K3096">
            <v>15.0212</v>
          </cell>
        </row>
        <row r="3097">
          <cell r="A3097">
            <v>33968</v>
          </cell>
          <cell r="J3097">
            <v>15.36</v>
          </cell>
          <cell r="K3097">
            <v>15.9634</v>
          </cell>
        </row>
        <row r="3098">
          <cell r="A3098">
            <v>33969</v>
          </cell>
          <cell r="J3098">
            <v>15.01</v>
          </cell>
          <cell r="K3098">
            <v>15.4077</v>
          </cell>
        </row>
        <row r="3099">
          <cell r="A3099">
            <v>33970</v>
          </cell>
          <cell r="J3099">
            <v>15.09</v>
          </cell>
          <cell r="K3099">
            <v>15.3329</v>
          </cell>
        </row>
        <row r="3100">
          <cell r="A3100">
            <v>33973</v>
          </cell>
          <cell r="J3100">
            <v>14.75</v>
          </cell>
          <cell r="K3100">
            <v>14.8856</v>
          </cell>
        </row>
        <row r="3101">
          <cell r="A3101">
            <v>33974</v>
          </cell>
          <cell r="J3101">
            <v>19.07</v>
          </cell>
          <cell r="K3101">
            <v>16.720600000000001</v>
          </cell>
        </row>
        <row r="3102">
          <cell r="A3102">
            <v>33975</v>
          </cell>
          <cell r="J3102">
            <v>18.53</v>
          </cell>
          <cell r="K3102">
            <v>16.547899999999998</v>
          </cell>
        </row>
        <row r="3103">
          <cell r="A3103">
            <v>33976</v>
          </cell>
          <cell r="J3103">
            <v>17.59</v>
          </cell>
          <cell r="K3103">
            <v>16.027100000000001</v>
          </cell>
        </row>
        <row r="3104">
          <cell r="A3104">
            <v>33977</v>
          </cell>
          <cell r="J3104">
            <v>17.87</v>
          </cell>
          <cell r="K3104">
            <v>16.238600000000002</v>
          </cell>
        </row>
        <row r="3105">
          <cell r="A3105">
            <v>33980</v>
          </cell>
          <cell r="J3105">
            <v>17.14</v>
          </cell>
          <cell r="K3105">
            <v>17.4193</v>
          </cell>
        </row>
        <row r="3106">
          <cell r="A3106">
            <v>33981</v>
          </cell>
          <cell r="J3106">
            <v>17.61</v>
          </cell>
          <cell r="K3106">
            <v>17.354500000000002</v>
          </cell>
        </row>
        <row r="3107">
          <cell r="A3107">
            <v>33982</v>
          </cell>
          <cell r="J3107">
            <v>17.72</v>
          </cell>
          <cell r="K3107">
            <v>17.557300000000001</v>
          </cell>
        </row>
        <row r="3108">
          <cell r="A3108">
            <v>33983</v>
          </cell>
          <cell r="J3108">
            <v>17.54</v>
          </cell>
          <cell r="K3108">
            <v>17.1113</v>
          </cell>
        </row>
        <row r="3109">
          <cell r="A3109">
            <v>33984</v>
          </cell>
          <cell r="J3109">
            <v>18.36</v>
          </cell>
          <cell r="K3109">
            <v>16.726600000000001</v>
          </cell>
        </row>
        <row r="3110">
          <cell r="A3110">
            <v>33987</v>
          </cell>
          <cell r="J3110">
            <v>17.850000000000001</v>
          </cell>
          <cell r="K3110">
            <v>16.090499999999999</v>
          </cell>
        </row>
        <row r="3111">
          <cell r="A3111">
            <v>33988</v>
          </cell>
          <cell r="J3111">
            <v>17.2</v>
          </cell>
          <cell r="K3111">
            <v>15.4505</v>
          </cell>
        </row>
        <row r="3112">
          <cell r="A3112">
            <v>33989</v>
          </cell>
          <cell r="J3112">
            <v>16.45</v>
          </cell>
          <cell r="K3112">
            <v>15.6889</v>
          </cell>
        </row>
        <row r="3113">
          <cell r="A3113">
            <v>33990</v>
          </cell>
          <cell r="J3113">
            <v>16.43</v>
          </cell>
          <cell r="K3113">
            <v>15.483000000000001</v>
          </cell>
        </row>
        <row r="3114">
          <cell r="A3114">
            <v>33991</v>
          </cell>
          <cell r="J3114">
            <v>16.829999999999998</v>
          </cell>
          <cell r="K3114">
            <v>15.6662</v>
          </cell>
        </row>
        <row r="3115">
          <cell r="A3115">
            <v>33994</v>
          </cell>
          <cell r="J3115">
            <v>16.399999999999999</v>
          </cell>
          <cell r="K3115">
            <v>15.143599999999999</v>
          </cell>
        </row>
        <row r="3116">
          <cell r="A3116">
            <v>33995</v>
          </cell>
          <cell r="J3116">
            <v>15.84</v>
          </cell>
          <cell r="K3116">
            <v>16.158000000000001</v>
          </cell>
        </row>
        <row r="3117">
          <cell r="A3117">
            <v>33996</v>
          </cell>
          <cell r="J3117">
            <v>15.42</v>
          </cell>
          <cell r="K3117">
            <v>15.7523</v>
          </cell>
        </row>
        <row r="3118">
          <cell r="A3118">
            <v>33997</v>
          </cell>
          <cell r="J3118">
            <v>17.12</v>
          </cell>
          <cell r="K3118">
            <v>17.378499999999999</v>
          </cell>
        </row>
        <row r="3119">
          <cell r="A3119">
            <v>33998</v>
          </cell>
          <cell r="J3119">
            <v>16.59</v>
          </cell>
          <cell r="K3119">
            <v>16.782499999999999</v>
          </cell>
        </row>
        <row r="3120">
          <cell r="A3120">
            <v>34001</v>
          </cell>
          <cell r="J3120">
            <v>19.420000000000002</v>
          </cell>
          <cell r="K3120">
            <v>18.3476</v>
          </cell>
        </row>
        <row r="3121">
          <cell r="A3121">
            <v>34002</v>
          </cell>
          <cell r="J3121">
            <v>18.84</v>
          </cell>
          <cell r="K3121">
            <v>17.833100000000002</v>
          </cell>
        </row>
        <row r="3122">
          <cell r="A3122">
            <v>34003</v>
          </cell>
          <cell r="J3122">
            <v>18</v>
          </cell>
          <cell r="K3122">
            <v>17.445799999999998</v>
          </cell>
        </row>
        <row r="3123">
          <cell r="A3123">
            <v>34004</v>
          </cell>
          <cell r="J3123">
            <v>17.29</v>
          </cell>
          <cell r="K3123">
            <v>16.7864</v>
          </cell>
        </row>
        <row r="3124">
          <cell r="A3124">
            <v>34005</v>
          </cell>
          <cell r="J3124">
            <v>17.32</v>
          </cell>
          <cell r="K3124">
            <v>16.257000000000001</v>
          </cell>
        </row>
        <row r="3125">
          <cell r="A3125">
            <v>34008</v>
          </cell>
          <cell r="J3125">
            <v>21.05</v>
          </cell>
          <cell r="K3125">
            <v>16.733699999999999</v>
          </cell>
        </row>
        <row r="3126">
          <cell r="A3126">
            <v>34009</v>
          </cell>
          <cell r="J3126">
            <v>19.77</v>
          </cell>
          <cell r="K3126">
            <v>16.126000000000001</v>
          </cell>
        </row>
        <row r="3127">
          <cell r="A3127">
            <v>34010</v>
          </cell>
          <cell r="J3127">
            <v>19.38</v>
          </cell>
          <cell r="K3127">
            <v>17.273900000000001</v>
          </cell>
        </row>
        <row r="3128">
          <cell r="A3128">
            <v>34011</v>
          </cell>
          <cell r="J3128">
            <v>18.27</v>
          </cell>
          <cell r="K3128">
            <v>16.6294</v>
          </cell>
        </row>
        <row r="3129">
          <cell r="A3129">
            <v>34012</v>
          </cell>
          <cell r="J3129">
            <v>17.329999999999998</v>
          </cell>
          <cell r="K3129">
            <v>16.079799999999999</v>
          </cell>
        </row>
        <row r="3130">
          <cell r="A3130">
            <v>34015</v>
          </cell>
          <cell r="J3130">
            <v>16.649999999999999</v>
          </cell>
          <cell r="K3130">
            <v>15.3909</v>
          </cell>
        </row>
        <row r="3131">
          <cell r="A3131">
            <v>34016</v>
          </cell>
          <cell r="J3131">
            <v>17.38</v>
          </cell>
          <cell r="K3131">
            <v>15.864000000000001</v>
          </cell>
        </row>
        <row r="3132">
          <cell r="A3132">
            <v>34017</v>
          </cell>
          <cell r="J3132">
            <v>16.8</v>
          </cell>
          <cell r="K3132">
            <v>15.9047</v>
          </cell>
        </row>
        <row r="3133">
          <cell r="A3133">
            <v>34018</v>
          </cell>
          <cell r="J3133">
            <v>19.559999999999999</v>
          </cell>
          <cell r="K3133">
            <v>16.2121</v>
          </cell>
        </row>
        <row r="3134">
          <cell r="A3134">
            <v>34019</v>
          </cell>
          <cell r="J3134">
            <v>18.45</v>
          </cell>
          <cell r="K3134">
            <v>15.867599999999999</v>
          </cell>
        </row>
        <row r="3135">
          <cell r="A3135">
            <v>34022</v>
          </cell>
          <cell r="J3135">
            <v>17.88</v>
          </cell>
          <cell r="K3135">
            <v>15.693</v>
          </cell>
        </row>
        <row r="3136">
          <cell r="A3136">
            <v>34023</v>
          </cell>
          <cell r="J3136">
            <v>18.46</v>
          </cell>
          <cell r="K3136">
            <v>15.3842</v>
          </cell>
        </row>
        <row r="3137">
          <cell r="A3137">
            <v>34024</v>
          </cell>
          <cell r="J3137">
            <v>18.399999999999999</v>
          </cell>
          <cell r="K3137">
            <v>15.8241</v>
          </cell>
        </row>
        <row r="3138">
          <cell r="A3138">
            <v>34025</v>
          </cell>
          <cell r="J3138">
            <v>17.670000000000002</v>
          </cell>
          <cell r="K3138">
            <v>15.920199999999999</v>
          </cell>
        </row>
        <row r="3139">
          <cell r="A3139">
            <v>34026</v>
          </cell>
          <cell r="J3139">
            <v>18.239999999999998</v>
          </cell>
          <cell r="K3139">
            <v>15.864100000000001</v>
          </cell>
        </row>
        <row r="3140">
          <cell r="A3140">
            <v>34029</v>
          </cell>
          <cell r="J3140">
            <v>17.48</v>
          </cell>
          <cell r="K3140">
            <v>15.385199999999999</v>
          </cell>
        </row>
        <row r="3141">
          <cell r="A3141">
            <v>34030</v>
          </cell>
          <cell r="J3141">
            <v>16.739999999999998</v>
          </cell>
          <cell r="K3141">
            <v>15.1755</v>
          </cell>
        </row>
        <row r="3142">
          <cell r="A3142">
            <v>34031</v>
          </cell>
          <cell r="J3142">
            <v>16.22</v>
          </cell>
          <cell r="K3142">
            <v>14.6737</v>
          </cell>
        </row>
        <row r="3143">
          <cell r="A3143">
            <v>34032</v>
          </cell>
          <cell r="J3143">
            <v>16.2</v>
          </cell>
          <cell r="K3143">
            <v>14.6716</v>
          </cell>
        </row>
        <row r="3144">
          <cell r="A3144">
            <v>34033</v>
          </cell>
          <cell r="J3144">
            <v>15.82</v>
          </cell>
          <cell r="K3144">
            <v>14.691800000000001</v>
          </cell>
        </row>
        <row r="3145">
          <cell r="A3145">
            <v>34036</v>
          </cell>
          <cell r="J3145">
            <v>16.95</v>
          </cell>
          <cell r="K3145">
            <v>15.150499999999999</v>
          </cell>
        </row>
        <row r="3146">
          <cell r="A3146">
            <v>34037</v>
          </cell>
          <cell r="J3146">
            <v>16.23</v>
          </cell>
          <cell r="K3146">
            <v>14.744300000000001</v>
          </cell>
        </row>
        <row r="3147">
          <cell r="A3147">
            <v>34038</v>
          </cell>
          <cell r="J3147">
            <v>15.61</v>
          </cell>
          <cell r="K3147">
            <v>14.7363</v>
          </cell>
        </row>
        <row r="3148">
          <cell r="A3148">
            <v>34039</v>
          </cell>
          <cell r="J3148">
            <v>16.61</v>
          </cell>
          <cell r="K3148">
            <v>15.1104</v>
          </cell>
        </row>
        <row r="3149">
          <cell r="A3149">
            <v>34040</v>
          </cell>
          <cell r="J3149">
            <v>16.28</v>
          </cell>
          <cell r="K3149">
            <v>15.176</v>
          </cell>
        </row>
        <row r="3150">
          <cell r="A3150">
            <v>34043</v>
          </cell>
          <cell r="J3150">
            <v>16.739999999999998</v>
          </cell>
          <cell r="K3150">
            <v>16.2529</v>
          </cell>
        </row>
        <row r="3151">
          <cell r="A3151">
            <v>34044</v>
          </cell>
          <cell r="J3151">
            <v>16.23</v>
          </cell>
          <cell r="K3151">
            <v>15.706300000000001</v>
          </cell>
        </row>
        <row r="3152">
          <cell r="A3152">
            <v>34045</v>
          </cell>
          <cell r="J3152">
            <v>16.03</v>
          </cell>
          <cell r="K3152">
            <v>15.3452</v>
          </cell>
        </row>
        <row r="3153">
          <cell r="A3153">
            <v>34046</v>
          </cell>
          <cell r="J3153">
            <v>15.78</v>
          </cell>
          <cell r="K3153">
            <v>15.417899999999999</v>
          </cell>
        </row>
        <row r="3154">
          <cell r="A3154">
            <v>34047</v>
          </cell>
          <cell r="J3154">
            <v>15.53</v>
          </cell>
          <cell r="K3154">
            <v>14.958600000000001</v>
          </cell>
        </row>
        <row r="3155">
          <cell r="A3155">
            <v>34050</v>
          </cell>
          <cell r="J3155">
            <v>16.059999999999999</v>
          </cell>
          <cell r="K3155">
            <v>15.853</v>
          </cell>
        </row>
        <row r="3156">
          <cell r="A3156">
            <v>34051</v>
          </cell>
          <cell r="J3156">
            <v>17</v>
          </cell>
          <cell r="K3156">
            <v>17.773900000000001</v>
          </cell>
        </row>
        <row r="3157">
          <cell r="A3157">
            <v>34052</v>
          </cell>
          <cell r="J3157">
            <v>16.62</v>
          </cell>
          <cell r="K3157">
            <v>17.2363</v>
          </cell>
        </row>
        <row r="3158">
          <cell r="A3158">
            <v>34053</v>
          </cell>
          <cell r="J3158">
            <v>16</v>
          </cell>
          <cell r="K3158">
            <v>16.592199999999998</v>
          </cell>
        </row>
        <row r="3159">
          <cell r="A3159">
            <v>34054</v>
          </cell>
          <cell r="J3159">
            <v>17.87</v>
          </cell>
          <cell r="K3159">
            <v>16.959900000000001</v>
          </cell>
        </row>
        <row r="3160">
          <cell r="A3160">
            <v>34057</v>
          </cell>
          <cell r="J3160">
            <v>17.98</v>
          </cell>
          <cell r="K3160">
            <v>16.447600000000001</v>
          </cell>
        </row>
        <row r="3161">
          <cell r="A3161">
            <v>34058</v>
          </cell>
          <cell r="J3161">
            <v>17.21</v>
          </cell>
          <cell r="K3161">
            <v>15.819699999999999</v>
          </cell>
        </row>
        <row r="3162">
          <cell r="A3162">
            <v>34059</v>
          </cell>
          <cell r="J3162">
            <v>16.43</v>
          </cell>
          <cell r="K3162">
            <v>15.1858</v>
          </cell>
        </row>
        <row r="3163">
          <cell r="A3163">
            <v>34060</v>
          </cell>
          <cell r="J3163">
            <v>16.11</v>
          </cell>
          <cell r="K3163">
            <v>15.3994</v>
          </cell>
        </row>
        <row r="3164">
          <cell r="A3164">
            <v>34061</v>
          </cell>
          <cell r="J3164">
            <v>16.170000000000002</v>
          </cell>
          <cell r="K3164">
            <v>15.1502</v>
          </cell>
        </row>
        <row r="3165">
          <cell r="A3165">
            <v>34064</v>
          </cell>
          <cell r="J3165">
            <v>15.69</v>
          </cell>
          <cell r="K3165">
            <v>15.0983</v>
          </cell>
        </row>
        <row r="3166">
          <cell r="A3166">
            <v>34065</v>
          </cell>
          <cell r="J3166">
            <v>16.34</v>
          </cell>
          <cell r="K3166">
            <v>16.3996</v>
          </cell>
        </row>
        <row r="3167">
          <cell r="A3167">
            <v>34066</v>
          </cell>
          <cell r="J3167">
            <v>15.7</v>
          </cell>
          <cell r="K3167">
            <v>15.970700000000001</v>
          </cell>
        </row>
        <row r="3168">
          <cell r="A3168">
            <v>34067</v>
          </cell>
          <cell r="J3168">
            <v>15.77</v>
          </cell>
          <cell r="K3168">
            <v>15.911799999999999</v>
          </cell>
        </row>
        <row r="3169">
          <cell r="A3169">
            <v>34068</v>
          </cell>
          <cell r="J3169">
            <v>15.24</v>
          </cell>
          <cell r="K3169">
            <v>15.196099999999999</v>
          </cell>
        </row>
        <row r="3170">
          <cell r="A3170">
            <v>34071</v>
          </cell>
          <cell r="J3170">
            <v>14.86</v>
          </cell>
          <cell r="K3170">
            <v>14.795299999999999</v>
          </cell>
        </row>
        <row r="3171">
          <cell r="A3171">
            <v>34072</v>
          </cell>
          <cell r="J3171">
            <v>14.6</v>
          </cell>
          <cell r="K3171">
            <v>14.4915</v>
          </cell>
        </row>
        <row r="3172">
          <cell r="A3172">
            <v>34073</v>
          </cell>
          <cell r="J3172">
            <v>18.920000000000002</v>
          </cell>
          <cell r="K3172">
            <v>16.014399999999998</v>
          </cell>
        </row>
        <row r="3173">
          <cell r="A3173">
            <v>34074</v>
          </cell>
          <cell r="J3173">
            <v>18.21</v>
          </cell>
          <cell r="K3173">
            <v>15.8024</v>
          </cell>
        </row>
        <row r="3174">
          <cell r="A3174">
            <v>34075</v>
          </cell>
          <cell r="J3174">
            <v>20.61</v>
          </cell>
          <cell r="K3174">
            <v>17.065000000000001</v>
          </cell>
        </row>
        <row r="3175">
          <cell r="A3175">
            <v>34078</v>
          </cell>
          <cell r="J3175">
            <v>20.91</v>
          </cell>
          <cell r="K3175">
            <v>18.553599999999999</v>
          </cell>
        </row>
        <row r="3176">
          <cell r="A3176">
            <v>34079</v>
          </cell>
          <cell r="J3176">
            <v>19.73</v>
          </cell>
          <cell r="K3176">
            <v>18.0397</v>
          </cell>
        </row>
        <row r="3177">
          <cell r="A3177">
            <v>34080</v>
          </cell>
          <cell r="J3177">
            <v>18.61</v>
          </cell>
          <cell r="K3177">
            <v>17.289400000000001</v>
          </cell>
        </row>
        <row r="3178">
          <cell r="A3178">
            <v>34081</v>
          </cell>
          <cell r="J3178">
            <v>19.7</v>
          </cell>
          <cell r="K3178">
            <v>18.1235</v>
          </cell>
        </row>
        <row r="3179">
          <cell r="A3179">
            <v>34082</v>
          </cell>
          <cell r="J3179">
            <v>18.600000000000001</v>
          </cell>
          <cell r="K3179">
            <v>17.6449</v>
          </cell>
        </row>
        <row r="3180">
          <cell r="A3180">
            <v>34085</v>
          </cell>
          <cell r="J3180">
            <v>17.64</v>
          </cell>
          <cell r="K3180">
            <v>16.985600000000002</v>
          </cell>
        </row>
        <row r="3181">
          <cell r="A3181">
            <v>34086</v>
          </cell>
          <cell r="J3181">
            <v>17.010000000000002</v>
          </cell>
          <cell r="K3181">
            <v>16.399899999999999</v>
          </cell>
        </row>
        <row r="3182">
          <cell r="A3182">
            <v>34087</v>
          </cell>
          <cell r="J3182">
            <v>16.27</v>
          </cell>
          <cell r="K3182">
            <v>16.2026</v>
          </cell>
        </row>
        <row r="3183">
          <cell r="A3183">
            <v>34088</v>
          </cell>
          <cell r="J3183">
            <v>15.76</v>
          </cell>
          <cell r="K3183">
            <v>18.039200000000001</v>
          </cell>
        </row>
        <row r="3184">
          <cell r="A3184">
            <v>34089</v>
          </cell>
          <cell r="J3184">
            <v>15.4</v>
          </cell>
          <cell r="K3184">
            <v>17.410499999999999</v>
          </cell>
        </row>
        <row r="3185">
          <cell r="A3185">
            <v>34092</v>
          </cell>
          <cell r="J3185">
            <v>14.93</v>
          </cell>
          <cell r="K3185">
            <v>17.275600000000001</v>
          </cell>
        </row>
        <row r="3186">
          <cell r="A3186">
            <v>34093</v>
          </cell>
          <cell r="J3186">
            <v>15.06</v>
          </cell>
          <cell r="K3186">
            <v>16.994499999999999</v>
          </cell>
        </row>
        <row r="3187">
          <cell r="A3187">
            <v>34094</v>
          </cell>
          <cell r="J3187">
            <v>14.71</v>
          </cell>
          <cell r="K3187">
            <v>16.969200000000001</v>
          </cell>
        </row>
        <row r="3188">
          <cell r="A3188">
            <v>34095</v>
          </cell>
          <cell r="J3188">
            <v>14.41</v>
          </cell>
          <cell r="K3188">
            <v>16.543099999999999</v>
          </cell>
        </row>
        <row r="3189">
          <cell r="A3189">
            <v>34096</v>
          </cell>
          <cell r="J3189">
            <v>15</v>
          </cell>
          <cell r="K3189">
            <v>16.577500000000001</v>
          </cell>
        </row>
        <row r="3190">
          <cell r="A3190">
            <v>34099</v>
          </cell>
          <cell r="J3190">
            <v>17.89</v>
          </cell>
          <cell r="K3190">
            <v>17.118200000000002</v>
          </cell>
        </row>
        <row r="3191">
          <cell r="A3191">
            <v>34100</v>
          </cell>
          <cell r="J3191">
            <v>18.3</v>
          </cell>
          <cell r="K3191">
            <v>17.691500000000001</v>
          </cell>
        </row>
        <row r="3192">
          <cell r="A3192">
            <v>34101</v>
          </cell>
          <cell r="J3192">
            <v>21.96</v>
          </cell>
          <cell r="K3192">
            <v>18.912400000000002</v>
          </cell>
        </row>
        <row r="3193">
          <cell r="A3193">
            <v>34102</v>
          </cell>
          <cell r="J3193">
            <v>20.73</v>
          </cell>
          <cell r="K3193">
            <v>17.883199999999999</v>
          </cell>
        </row>
        <row r="3194">
          <cell r="A3194">
            <v>34103</v>
          </cell>
          <cell r="J3194">
            <v>19.559999999999999</v>
          </cell>
          <cell r="K3194">
            <v>17.675999999999998</v>
          </cell>
        </row>
        <row r="3195">
          <cell r="A3195">
            <v>34106</v>
          </cell>
          <cell r="J3195">
            <v>20.16</v>
          </cell>
          <cell r="K3195">
            <v>17.667200000000001</v>
          </cell>
        </row>
        <row r="3196">
          <cell r="A3196">
            <v>34107</v>
          </cell>
          <cell r="J3196">
            <v>19.38</v>
          </cell>
          <cell r="K3196">
            <v>16.972300000000001</v>
          </cell>
        </row>
        <row r="3197">
          <cell r="A3197">
            <v>34108</v>
          </cell>
          <cell r="J3197">
            <v>18.54</v>
          </cell>
          <cell r="K3197">
            <v>17.380700000000001</v>
          </cell>
        </row>
        <row r="3198">
          <cell r="A3198">
            <v>34109</v>
          </cell>
          <cell r="J3198">
            <v>17.79</v>
          </cell>
          <cell r="K3198">
            <v>16.874300000000002</v>
          </cell>
        </row>
        <row r="3199">
          <cell r="A3199">
            <v>34110</v>
          </cell>
          <cell r="J3199">
            <v>16.920000000000002</v>
          </cell>
          <cell r="K3199">
            <v>16.0474</v>
          </cell>
        </row>
        <row r="3200">
          <cell r="A3200">
            <v>34113</v>
          </cell>
          <cell r="J3200">
            <v>16.850000000000001</v>
          </cell>
          <cell r="K3200">
            <v>16.180599999999998</v>
          </cell>
        </row>
        <row r="3201">
          <cell r="A3201">
            <v>34114</v>
          </cell>
          <cell r="J3201">
            <v>16.14</v>
          </cell>
          <cell r="K3201">
            <v>16.074100000000001</v>
          </cell>
        </row>
        <row r="3202">
          <cell r="A3202">
            <v>34115</v>
          </cell>
          <cell r="J3202">
            <v>17.55</v>
          </cell>
          <cell r="K3202">
            <v>16.148599999999998</v>
          </cell>
        </row>
        <row r="3203">
          <cell r="A3203">
            <v>34116</v>
          </cell>
          <cell r="J3203">
            <v>16.739999999999998</v>
          </cell>
          <cell r="K3203">
            <v>15.6005</v>
          </cell>
        </row>
        <row r="3204">
          <cell r="A3204">
            <v>34117</v>
          </cell>
          <cell r="J3204">
            <v>16.77</v>
          </cell>
          <cell r="K3204">
            <v>15.0237</v>
          </cell>
        </row>
        <row r="3205">
          <cell r="A3205">
            <v>34120</v>
          </cell>
          <cell r="J3205">
            <v>16.149999999999999</v>
          </cell>
          <cell r="K3205">
            <v>14.9354</v>
          </cell>
        </row>
        <row r="3206">
          <cell r="A3206">
            <v>34121</v>
          </cell>
          <cell r="J3206">
            <v>15.62</v>
          </cell>
          <cell r="K3206">
            <v>14.568</v>
          </cell>
        </row>
        <row r="3207">
          <cell r="A3207">
            <v>34122</v>
          </cell>
          <cell r="J3207">
            <v>15.93</v>
          </cell>
          <cell r="K3207">
            <v>14.579700000000001</v>
          </cell>
        </row>
        <row r="3208">
          <cell r="A3208">
            <v>34123</v>
          </cell>
          <cell r="J3208">
            <v>15.64</v>
          </cell>
          <cell r="K3208">
            <v>14.852499999999999</v>
          </cell>
        </row>
        <row r="3209">
          <cell r="A3209">
            <v>34124</v>
          </cell>
          <cell r="J3209">
            <v>15.82</v>
          </cell>
          <cell r="K3209">
            <v>14.940799999999999</v>
          </cell>
        </row>
        <row r="3210">
          <cell r="A3210">
            <v>34127</v>
          </cell>
          <cell r="J3210">
            <v>17.5</v>
          </cell>
          <cell r="K3210">
            <v>16.824000000000002</v>
          </cell>
        </row>
        <row r="3211">
          <cell r="A3211">
            <v>34128</v>
          </cell>
          <cell r="J3211">
            <v>16.96</v>
          </cell>
          <cell r="K3211">
            <v>16.017499999999998</v>
          </cell>
        </row>
        <row r="3212">
          <cell r="A3212">
            <v>34129</v>
          </cell>
          <cell r="J3212">
            <v>16.25</v>
          </cell>
          <cell r="K3212">
            <v>15.467499999999999</v>
          </cell>
        </row>
        <row r="3213">
          <cell r="A3213">
            <v>34130</v>
          </cell>
          <cell r="J3213">
            <v>15.65</v>
          </cell>
          <cell r="K3213">
            <v>14.9025</v>
          </cell>
        </row>
        <row r="3214">
          <cell r="A3214">
            <v>34131</v>
          </cell>
          <cell r="J3214">
            <v>15.47</v>
          </cell>
          <cell r="K3214">
            <v>14.9605</v>
          </cell>
        </row>
        <row r="3215">
          <cell r="A3215">
            <v>34134</v>
          </cell>
          <cell r="J3215">
            <v>16</v>
          </cell>
          <cell r="K3215">
            <v>15.1143</v>
          </cell>
        </row>
        <row r="3216">
          <cell r="A3216">
            <v>34135</v>
          </cell>
          <cell r="J3216">
            <v>15.86</v>
          </cell>
          <cell r="K3216">
            <v>14.7593</v>
          </cell>
        </row>
        <row r="3217">
          <cell r="A3217">
            <v>34136</v>
          </cell>
          <cell r="J3217">
            <v>17.98</v>
          </cell>
          <cell r="K3217">
            <v>16.0989</v>
          </cell>
        </row>
        <row r="3218">
          <cell r="A3218">
            <v>34137</v>
          </cell>
          <cell r="J3218">
            <v>17.739999999999998</v>
          </cell>
          <cell r="K3218">
            <v>17.116399999999999</v>
          </cell>
        </row>
        <row r="3219">
          <cell r="A3219">
            <v>34138</v>
          </cell>
          <cell r="J3219">
            <v>17.78</v>
          </cell>
          <cell r="K3219">
            <v>16.643000000000001</v>
          </cell>
        </row>
        <row r="3220">
          <cell r="A3220">
            <v>34141</v>
          </cell>
          <cell r="J3220">
            <v>17.18</v>
          </cell>
          <cell r="K3220">
            <v>17.430099999999999</v>
          </cell>
        </row>
        <row r="3221">
          <cell r="A3221">
            <v>34142</v>
          </cell>
          <cell r="J3221">
            <v>16.670000000000002</v>
          </cell>
          <cell r="K3221">
            <v>16.961500000000001</v>
          </cell>
        </row>
        <row r="3222">
          <cell r="A3222">
            <v>34143</v>
          </cell>
          <cell r="J3222">
            <v>15.99</v>
          </cell>
          <cell r="K3222">
            <v>16.230899999999998</v>
          </cell>
        </row>
        <row r="3223">
          <cell r="A3223">
            <v>34144</v>
          </cell>
          <cell r="J3223">
            <v>15.45</v>
          </cell>
          <cell r="K3223">
            <v>15.8871</v>
          </cell>
        </row>
        <row r="3224">
          <cell r="A3224">
            <v>34145</v>
          </cell>
          <cell r="J3224">
            <v>14.99</v>
          </cell>
          <cell r="K3224">
            <v>17.110800000000001</v>
          </cell>
        </row>
        <row r="3225">
          <cell r="A3225">
            <v>34148</v>
          </cell>
          <cell r="J3225">
            <v>14.58</v>
          </cell>
          <cell r="K3225">
            <v>16.4009</v>
          </cell>
        </row>
        <row r="3226">
          <cell r="A3226">
            <v>34149</v>
          </cell>
          <cell r="J3226">
            <v>14.88</v>
          </cell>
          <cell r="K3226">
            <v>15.911899999999999</v>
          </cell>
        </row>
        <row r="3227">
          <cell r="A3227">
            <v>34150</v>
          </cell>
          <cell r="J3227">
            <v>14.73</v>
          </cell>
          <cell r="K3227">
            <v>15.469099999999999</v>
          </cell>
        </row>
        <row r="3228">
          <cell r="A3228">
            <v>34151</v>
          </cell>
          <cell r="J3228">
            <v>14.36</v>
          </cell>
          <cell r="K3228">
            <v>15.013299999999999</v>
          </cell>
        </row>
        <row r="3229">
          <cell r="A3229">
            <v>34152</v>
          </cell>
          <cell r="J3229">
            <v>15.61</v>
          </cell>
          <cell r="K3229">
            <v>15.6313</v>
          </cell>
        </row>
        <row r="3230">
          <cell r="A3230">
            <v>34155</v>
          </cell>
          <cell r="J3230">
            <v>17.239999999999998</v>
          </cell>
          <cell r="K3230">
            <v>16.831600000000002</v>
          </cell>
        </row>
        <row r="3231">
          <cell r="A3231">
            <v>34156</v>
          </cell>
          <cell r="J3231">
            <v>16.89</v>
          </cell>
          <cell r="K3231">
            <v>16.406199999999998</v>
          </cell>
        </row>
        <row r="3232">
          <cell r="A3232">
            <v>34157</v>
          </cell>
          <cell r="J3232">
            <v>16.21</v>
          </cell>
          <cell r="K3232">
            <v>15.8697</v>
          </cell>
        </row>
        <row r="3233">
          <cell r="A3233">
            <v>34158</v>
          </cell>
          <cell r="J3233">
            <v>15.64</v>
          </cell>
          <cell r="K3233">
            <v>15.266999999999999</v>
          </cell>
        </row>
        <row r="3234">
          <cell r="A3234">
            <v>34159</v>
          </cell>
          <cell r="J3234">
            <v>15.4</v>
          </cell>
          <cell r="K3234">
            <v>16.9541</v>
          </cell>
        </row>
        <row r="3235">
          <cell r="A3235">
            <v>34162</v>
          </cell>
          <cell r="J3235">
            <v>15.85</v>
          </cell>
          <cell r="K3235">
            <v>17.312200000000001</v>
          </cell>
        </row>
        <row r="3236">
          <cell r="A3236">
            <v>34163</v>
          </cell>
          <cell r="J3236">
            <v>15.83</v>
          </cell>
          <cell r="K3236">
            <v>17.1236</v>
          </cell>
        </row>
        <row r="3237">
          <cell r="A3237">
            <v>34164</v>
          </cell>
          <cell r="J3237">
            <v>15.44</v>
          </cell>
          <cell r="K3237">
            <v>16.4863</v>
          </cell>
        </row>
        <row r="3238">
          <cell r="A3238">
            <v>34165</v>
          </cell>
          <cell r="J3238">
            <v>15.12</v>
          </cell>
          <cell r="K3238">
            <v>16.055700000000002</v>
          </cell>
        </row>
        <row r="3239">
          <cell r="A3239">
            <v>34166</v>
          </cell>
          <cell r="J3239">
            <v>16.77</v>
          </cell>
          <cell r="K3239">
            <v>16.415900000000001</v>
          </cell>
        </row>
        <row r="3240">
          <cell r="A3240">
            <v>34169</v>
          </cell>
          <cell r="J3240">
            <v>16.11</v>
          </cell>
          <cell r="K3240">
            <v>16.614899999999999</v>
          </cell>
        </row>
        <row r="3241">
          <cell r="A3241">
            <v>34170</v>
          </cell>
          <cell r="J3241">
            <v>17.07</v>
          </cell>
          <cell r="K3241">
            <v>17.111999999999998</v>
          </cell>
        </row>
        <row r="3242">
          <cell r="A3242">
            <v>34171</v>
          </cell>
          <cell r="J3242">
            <v>16.86</v>
          </cell>
          <cell r="K3242">
            <v>16.6112</v>
          </cell>
        </row>
        <row r="3243">
          <cell r="A3243">
            <v>34172</v>
          </cell>
          <cell r="J3243">
            <v>17.079999999999998</v>
          </cell>
          <cell r="K3243">
            <v>16.334499999999998</v>
          </cell>
        </row>
        <row r="3244">
          <cell r="A3244">
            <v>34173</v>
          </cell>
          <cell r="J3244">
            <v>16.329999999999998</v>
          </cell>
          <cell r="K3244">
            <v>15.8308</v>
          </cell>
        </row>
        <row r="3245">
          <cell r="A3245">
            <v>34176</v>
          </cell>
          <cell r="J3245">
            <v>16.03</v>
          </cell>
          <cell r="K3245">
            <v>15.681100000000001</v>
          </cell>
        </row>
        <row r="3246">
          <cell r="A3246">
            <v>34177</v>
          </cell>
          <cell r="J3246">
            <v>15.51</v>
          </cell>
          <cell r="K3246">
            <v>15.1366</v>
          </cell>
        </row>
        <row r="3247">
          <cell r="A3247">
            <v>34178</v>
          </cell>
          <cell r="J3247">
            <v>15.24</v>
          </cell>
          <cell r="K3247">
            <v>14.748100000000001</v>
          </cell>
        </row>
        <row r="3248">
          <cell r="A3248">
            <v>34179</v>
          </cell>
          <cell r="J3248">
            <v>14.79</v>
          </cell>
          <cell r="K3248">
            <v>14.362500000000001</v>
          </cell>
        </row>
        <row r="3249">
          <cell r="A3249">
            <v>34180</v>
          </cell>
          <cell r="J3249">
            <v>16.010000000000002</v>
          </cell>
          <cell r="K3249">
            <v>15.4651</v>
          </cell>
        </row>
        <row r="3250">
          <cell r="A3250">
            <v>34183</v>
          </cell>
          <cell r="J3250">
            <v>15.79</v>
          </cell>
          <cell r="K3250">
            <v>17.183800000000002</v>
          </cell>
        </row>
        <row r="3251">
          <cell r="A3251">
            <v>34184</v>
          </cell>
          <cell r="J3251">
            <v>15.31</v>
          </cell>
          <cell r="K3251">
            <v>16.4801</v>
          </cell>
        </row>
        <row r="3252">
          <cell r="A3252">
            <v>34185</v>
          </cell>
          <cell r="J3252">
            <v>14.93</v>
          </cell>
          <cell r="K3252">
            <v>17.168800000000001</v>
          </cell>
        </row>
        <row r="3253">
          <cell r="A3253">
            <v>34186</v>
          </cell>
          <cell r="J3253">
            <v>14.74</v>
          </cell>
          <cell r="K3253">
            <v>16.831399999999999</v>
          </cell>
        </row>
        <row r="3254">
          <cell r="A3254">
            <v>34187</v>
          </cell>
          <cell r="J3254">
            <v>14.37</v>
          </cell>
          <cell r="K3254">
            <v>16.915299999999998</v>
          </cell>
        </row>
        <row r="3255">
          <cell r="A3255">
            <v>34190</v>
          </cell>
          <cell r="J3255">
            <v>15.06</v>
          </cell>
          <cell r="K3255">
            <v>16.4038</v>
          </cell>
        </row>
        <row r="3256">
          <cell r="A3256">
            <v>34191</v>
          </cell>
          <cell r="J3256">
            <v>14.8</v>
          </cell>
          <cell r="K3256">
            <v>15.9559</v>
          </cell>
        </row>
        <row r="3257">
          <cell r="A3257">
            <v>34192</v>
          </cell>
          <cell r="J3257">
            <v>16.47</v>
          </cell>
          <cell r="K3257">
            <v>16.960799999999999</v>
          </cell>
        </row>
        <row r="3258">
          <cell r="A3258">
            <v>34193</v>
          </cell>
          <cell r="J3258">
            <v>16.13</v>
          </cell>
          <cell r="K3258">
            <v>16.504899999999999</v>
          </cell>
        </row>
        <row r="3259">
          <cell r="A3259">
            <v>34194</v>
          </cell>
          <cell r="J3259">
            <v>16.14</v>
          </cell>
          <cell r="K3259">
            <v>16.549600000000002</v>
          </cell>
        </row>
        <row r="3260">
          <cell r="A3260">
            <v>34197</v>
          </cell>
          <cell r="J3260">
            <v>17.14</v>
          </cell>
          <cell r="K3260">
            <v>16.7822</v>
          </cell>
        </row>
        <row r="3261">
          <cell r="A3261">
            <v>34198</v>
          </cell>
          <cell r="J3261">
            <v>16.48</v>
          </cell>
          <cell r="K3261">
            <v>16.293500000000002</v>
          </cell>
        </row>
        <row r="3262">
          <cell r="A3262">
            <v>34199</v>
          </cell>
          <cell r="J3262">
            <v>15.9</v>
          </cell>
          <cell r="K3262">
            <v>16.2668</v>
          </cell>
        </row>
        <row r="3263">
          <cell r="A3263">
            <v>34200</v>
          </cell>
          <cell r="J3263">
            <v>17.899999999999999</v>
          </cell>
          <cell r="K3263">
            <v>16.603000000000002</v>
          </cell>
        </row>
        <row r="3264">
          <cell r="A3264">
            <v>34201</v>
          </cell>
          <cell r="J3264">
            <v>17.13</v>
          </cell>
          <cell r="K3264">
            <v>16.09</v>
          </cell>
        </row>
        <row r="3265">
          <cell r="A3265">
            <v>34204</v>
          </cell>
          <cell r="J3265">
            <v>16.59</v>
          </cell>
          <cell r="K3265">
            <v>16.2165</v>
          </cell>
        </row>
        <row r="3266">
          <cell r="A3266">
            <v>34205</v>
          </cell>
          <cell r="J3266">
            <v>17.2</v>
          </cell>
          <cell r="K3266">
            <v>16.633900000000001</v>
          </cell>
        </row>
        <row r="3267">
          <cell r="A3267">
            <v>34206</v>
          </cell>
          <cell r="J3267">
            <v>16.809999999999999</v>
          </cell>
          <cell r="K3267">
            <v>15.9672</v>
          </cell>
        </row>
        <row r="3268">
          <cell r="A3268">
            <v>34207</v>
          </cell>
          <cell r="J3268">
            <v>16.57</v>
          </cell>
          <cell r="K3268">
            <v>15.4017</v>
          </cell>
        </row>
        <row r="3269">
          <cell r="A3269">
            <v>34208</v>
          </cell>
          <cell r="J3269">
            <v>16.77</v>
          </cell>
          <cell r="K3269">
            <v>15.0884</v>
          </cell>
        </row>
        <row r="3270">
          <cell r="A3270">
            <v>34211</v>
          </cell>
          <cell r="J3270">
            <v>16.07</v>
          </cell>
          <cell r="K3270">
            <v>14.8279</v>
          </cell>
        </row>
        <row r="3271">
          <cell r="A3271">
            <v>34212</v>
          </cell>
          <cell r="J3271">
            <v>15.64</v>
          </cell>
          <cell r="K3271">
            <v>14.4998</v>
          </cell>
        </row>
        <row r="3272">
          <cell r="A3272">
            <v>34213</v>
          </cell>
          <cell r="J3272">
            <v>15.11</v>
          </cell>
          <cell r="K3272">
            <v>14.1554</v>
          </cell>
        </row>
        <row r="3273">
          <cell r="A3273">
            <v>34214</v>
          </cell>
          <cell r="J3273">
            <v>14.99</v>
          </cell>
          <cell r="K3273">
            <v>14.177300000000001</v>
          </cell>
        </row>
        <row r="3274">
          <cell r="A3274">
            <v>34215</v>
          </cell>
          <cell r="J3274">
            <v>14.76</v>
          </cell>
          <cell r="K3274">
            <v>14.223699999999999</v>
          </cell>
        </row>
        <row r="3275">
          <cell r="A3275">
            <v>34218</v>
          </cell>
          <cell r="J3275">
            <v>15.44</v>
          </cell>
          <cell r="K3275">
            <v>14.8108</v>
          </cell>
        </row>
        <row r="3276">
          <cell r="A3276">
            <v>34219</v>
          </cell>
          <cell r="J3276">
            <v>16.760000000000002</v>
          </cell>
          <cell r="K3276">
            <v>15.418200000000001</v>
          </cell>
        </row>
        <row r="3277">
          <cell r="A3277">
            <v>34220</v>
          </cell>
          <cell r="J3277">
            <v>18.28</v>
          </cell>
          <cell r="K3277">
            <v>16.753900000000002</v>
          </cell>
        </row>
        <row r="3278">
          <cell r="A3278">
            <v>34221</v>
          </cell>
          <cell r="J3278">
            <v>17.57</v>
          </cell>
          <cell r="K3278">
            <v>17.788699999999999</v>
          </cell>
        </row>
        <row r="3279">
          <cell r="A3279">
            <v>34222</v>
          </cell>
          <cell r="J3279">
            <v>16.739999999999998</v>
          </cell>
          <cell r="K3279">
            <v>17.842500000000001</v>
          </cell>
        </row>
        <row r="3280">
          <cell r="A3280">
            <v>34225</v>
          </cell>
          <cell r="J3280">
            <v>16.04</v>
          </cell>
          <cell r="K3280">
            <v>17.223099999999999</v>
          </cell>
        </row>
        <row r="3281">
          <cell r="A3281">
            <v>34226</v>
          </cell>
          <cell r="J3281">
            <v>16.41</v>
          </cell>
          <cell r="K3281">
            <v>16.7896</v>
          </cell>
        </row>
        <row r="3282">
          <cell r="A3282">
            <v>34227</v>
          </cell>
          <cell r="J3282">
            <v>15.78</v>
          </cell>
          <cell r="K3282">
            <v>16.5534</v>
          </cell>
        </row>
        <row r="3283">
          <cell r="A3283">
            <v>34228</v>
          </cell>
          <cell r="J3283">
            <v>17.059999999999999</v>
          </cell>
          <cell r="K3283">
            <v>16.9299</v>
          </cell>
        </row>
        <row r="3284">
          <cell r="A3284">
            <v>34229</v>
          </cell>
          <cell r="J3284">
            <v>19.059999999999999</v>
          </cell>
          <cell r="K3284">
            <v>18.6142</v>
          </cell>
        </row>
        <row r="3285">
          <cell r="A3285">
            <v>34232</v>
          </cell>
          <cell r="J3285">
            <v>18.53</v>
          </cell>
          <cell r="K3285">
            <v>17.637</v>
          </cell>
        </row>
        <row r="3286">
          <cell r="A3286">
            <v>34233</v>
          </cell>
          <cell r="J3286">
            <v>17.68</v>
          </cell>
          <cell r="K3286">
            <v>17.039000000000001</v>
          </cell>
        </row>
        <row r="3287">
          <cell r="A3287">
            <v>34234</v>
          </cell>
          <cell r="J3287">
            <v>17.05</v>
          </cell>
          <cell r="K3287">
            <v>16.754999999999999</v>
          </cell>
        </row>
        <row r="3288">
          <cell r="A3288">
            <v>34235</v>
          </cell>
          <cell r="J3288">
            <v>19.77</v>
          </cell>
          <cell r="K3288">
            <v>20.2133</v>
          </cell>
        </row>
        <row r="3289">
          <cell r="A3289">
            <v>34236</v>
          </cell>
          <cell r="J3289">
            <v>20.78</v>
          </cell>
          <cell r="K3289">
            <v>20.255600000000001</v>
          </cell>
        </row>
        <row r="3290">
          <cell r="A3290">
            <v>34239</v>
          </cell>
          <cell r="J3290">
            <v>19.989999999999998</v>
          </cell>
          <cell r="K3290">
            <v>20.534400000000002</v>
          </cell>
        </row>
        <row r="3291">
          <cell r="A3291">
            <v>34240</v>
          </cell>
          <cell r="J3291">
            <v>20.170000000000002</v>
          </cell>
          <cell r="K3291">
            <v>20.769600000000001</v>
          </cell>
        </row>
        <row r="3292">
          <cell r="A3292">
            <v>34241</v>
          </cell>
          <cell r="J3292">
            <v>18.96</v>
          </cell>
          <cell r="K3292">
            <v>19.549099999999999</v>
          </cell>
        </row>
        <row r="3293">
          <cell r="A3293">
            <v>34242</v>
          </cell>
          <cell r="J3293">
            <v>18.54</v>
          </cell>
          <cell r="K3293">
            <v>18.4268</v>
          </cell>
        </row>
        <row r="3294">
          <cell r="A3294">
            <v>34243</v>
          </cell>
          <cell r="J3294">
            <v>19.489999999999998</v>
          </cell>
          <cell r="K3294">
            <v>18.6812</v>
          </cell>
        </row>
        <row r="3295">
          <cell r="A3295">
            <v>34246</v>
          </cell>
          <cell r="J3295">
            <v>18.5</v>
          </cell>
          <cell r="K3295">
            <v>17.627800000000001</v>
          </cell>
        </row>
        <row r="3296">
          <cell r="A3296">
            <v>34247</v>
          </cell>
          <cell r="J3296">
            <v>17.97</v>
          </cell>
          <cell r="K3296">
            <v>16.9697</v>
          </cell>
        </row>
        <row r="3297">
          <cell r="A3297">
            <v>34248</v>
          </cell>
          <cell r="J3297">
            <v>17.63</v>
          </cell>
          <cell r="K3297">
            <v>16.658000000000001</v>
          </cell>
        </row>
        <row r="3298">
          <cell r="A3298">
            <v>34249</v>
          </cell>
          <cell r="J3298">
            <v>16.8</v>
          </cell>
          <cell r="K3298">
            <v>15.9085</v>
          </cell>
        </row>
        <row r="3299">
          <cell r="A3299">
            <v>34250</v>
          </cell>
          <cell r="J3299">
            <v>17.309999999999999</v>
          </cell>
          <cell r="K3299">
            <v>16.330200000000001</v>
          </cell>
        </row>
        <row r="3300">
          <cell r="A3300">
            <v>34253</v>
          </cell>
          <cell r="J3300">
            <v>18.079999999999998</v>
          </cell>
          <cell r="K3300">
            <v>16.577500000000001</v>
          </cell>
        </row>
        <row r="3301">
          <cell r="A3301">
            <v>34254</v>
          </cell>
          <cell r="J3301">
            <v>18.350000000000001</v>
          </cell>
          <cell r="K3301">
            <v>17.267199999999999</v>
          </cell>
        </row>
        <row r="3302">
          <cell r="A3302">
            <v>34255</v>
          </cell>
          <cell r="J3302">
            <v>17.440000000000001</v>
          </cell>
          <cell r="K3302">
            <v>16.4575</v>
          </cell>
        </row>
        <row r="3303">
          <cell r="A3303">
            <v>34256</v>
          </cell>
          <cell r="J3303">
            <v>18.02</v>
          </cell>
          <cell r="K3303">
            <v>17.209800000000001</v>
          </cell>
        </row>
        <row r="3304">
          <cell r="A3304">
            <v>34257</v>
          </cell>
          <cell r="J3304">
            <v>19.02</v>
          </cell>
          <cell r="K3304">
            <v>17.2318</v>
          </cell>
        </row>
        <row r="3305">
          <cell r="A3305">
            <v>34260</v>
          </cell>
          <cell r="J3305">
            <v>18.03</v>
          </cell>
          <cell r="K3305">
            <v>16.612500000000001</v>
          </cell>
        </row>
        <row r="3306">
          <cell r="A3306">
            <v>34261</v>
          </cell>
          <cell r="J3306">
            <v>17.57</v>
          </cell>
          <cell r="K3306">
            <v>16.225899999999999</v>
          </cell>
        </row>
        <row r="3307">
          <cell r="A3307">
            <v>34262</v>
          </cell>
          <cell r="J3307">
            <v>17.52</v>
          </cell>
          <cell r="K3307">
            <v>17.379100000000001</v>
          </cell>
        </row>
        <row r="3308">
          <cell r="A3308">
            <v>34263</v>
          </cell>
          <cell r="J3308">
            <v>16.87</v>
          </cell>
          <cell r="K3308">
            <v>16.5547</v>
          </cell>
        </row>
        <row r="3309">
          <cell r="A3309">
            <v>34264</v>
          </cell>
          <cell r="J3309">
            <v>18.239999999999998</v>
          </cell>
          <cell r="K3309">
            <v>17.2668</v>
          </cell>
        </row>
        <row r="3310">
          <cell r="A3310">
            <v>34267</v>
          </cell>
          <cell r="J3310">
            <v>18.14</v>
          </cell>
          <cell r="K3310">
            <v>16.608699999999999</v>
          </cell>
        </row>
        <row r="3311">
          <cell r="A3311">
            <v>34268</v>
          </cell>
          <cell r="J3311">
            <v>17.260000000000002</v>
          </cell>
          <cell r="K3311">
            <v>15.8322</v>
          </cell>
        </row>
        <row r="3312">
          <cell r="A3312">
            <v>34269</v>
          </cell>
          <cell r="J3312">
            <v>17.41</v>
          </cell>
          <cell r="K3312">
            <v>16.234500000000001</v>
          </cell>
        </row>
        <row r="3313">
          <cell r="A3313">
            <v>34270</v>
          </cell>
          <cell r="J3313">
            <v>17.739999999999998</v>
          </cell>
          <cell r="K3313">
            <v>16.698599999999999</v>
          </cell>
        </row>
        <row r="3314">
          <cell r="A3314">
            <v>34271</v>
          </cell>
          <cell r="J3314">
            <v>17.66</v>
          </cell>
          <cell r="K3314">
            <v>16.256499999999999</v>
          </cell>
        </row>
        <row r="3315">
          <cell r="A3315">
            <v>34274</v>
          </cell>
          <cell r="J3315">
            <v>16.809999999999999</v>
          </cell>
          <cell r="K3315">
            <v>16.822399999999998</v>
          </cell>
        </row>
        <row r="3316">
          <cell r="A3316">
            <v>34275</v>
          </cell>
          <cell r="J3316">
            <v>17.54</v>
          </cell>
          <cell r="K3316">
            <v>17.197399999999998</v>
          </cell>
        </row>
        <row r="3317">
          <cell r="A3317">
            <v>34276</v>
          </cell>
          <cell r="J3317">
            <v>17.05</v>
          </cell>
          <cell r="K3317">
            <v>16.8691</v>
          </cell>
        </row>
        <row r="3318">
          <cell r="A3318">
            <v>34277</v>
          </cell>
          <cell r="J3318">
            <v>16.3</v>
          </cell>
          <cell r="K3318">
            <v>16.238499999999998</v>
          </cell>
        </row>
        <row r="3319">
          <cell r="A3319">
            <v>34278</v>
          </cell>
          <cell r="J3319">
            <v>17.899999999999999</v>
          </cell>
          <cell r="K3319">
            <v>16.897600000000001</v>
          </cell>
        </row>
        <row r="3320">
          <cell r="A3320">
            <v>34281</v>
          </cell>
          <cell r="J3320">
            <v>22.86</v>
          </cell>
          <cell r="K3320">
            <v>21.511299999999999</v>
          </cell>
        </row>
        <row r="3321">
          <cell r="A3321">
            <v>34282</v>
          </cell>
          <cell r="J3321">
            <v>21.89</v>
          </cell>
          <cell r="K3321">
            <v>20.187899999999999</v>
          </cell>
        </row>
        <row r="3322">
          <cell r="A3322">
            <v>34283</v>
          </cell>
          <cell r="J3322">
            <v>20.51</v>
          </cell>
          <cell r="K3322">
            <v>18.920300000000001</v>
          </cell>
        </row>
        <row r="3323">
          <cell r="A3323">
            <v>34284</v>
          </cell>
          <cell r="J3323">
            <v>21.51</v>
          </cell>
          <cell r="K3323">
            <v>19.228999999999999</v>
          </cell>
        </row>
        <row r="3324">
          <cell r="A3324">
            <v>34285</v>
          </cell>
          <cell r="J3324">
            <v>20.149999999999999</v>
          </cell>
          <cell r="K3324">
            <v>18.418099999999999</v>
          </cell>
        </row>
        <row r="3325">
          <cell r="A3325">
            <v>34288</v>
          </cell>
          <cell r="J3325">
            <v>19.04</v>
          </cell>
          <cell r="K3325">
            <v>18.134899999999998</v>
          </cell>
        </row>
        <row r="3326">
          <cell r="A3326">
            <v>34289</v>
          </cell>
          <cell r="J3326">
            <v>19.13</v>
          </cell>
          <cell r="K3326">
            <v>17.876300000000001</v>
          </cell>
        </row>
        <row r="3327">
          <cell r="A3327">
            <v>34290</v>
          </cell>
          <cell r="J3327">
            <v>18.23</v>
          </cell>
          <cell r="K3327">
            <v>17.241</v>
          </cell>
        </row>
        <row r="3328">
          <cell r="A3328">
            <v>34291</v>
          </cell>
          <cell r="J3328">
            <v>17.829999999999998</v>
          </cell>
          <cell r="K3328">
            <v>17.391500000000001</v>
          </cell>
        </row>
        <row r="3329">
          <cell r="A3329">
            <v>34292</v>
          </cell>
          <cell r="J3329">
            <v>17.27</v>
          </cell>
          <cell r="K3329">
            <v>16.848600000000001</v>
          </cell>
        </row>
        <row r="3330">
          <cell r="A3330">
            <v>34295</v>
          </cell>
          <cell r="J3330">
            <v>17.05</v>
          </cell>
          <cell r="K3330">
            <v>16.972000000000001</v>
          </cell>
        </row>
        <row r="3331">
          <cell r="A3331">
            <v>34296</v>
          </cell>
          <cell r="J3331">
            <v>21.3</v>
          </cell>
          <cell r="K3331">
            <v>19.242699999999999</v>
          </cell>
        </row>
        <row r="3332">
          <cell r="A3332">
            <v>34297</v>
          </cell>
          <cell r="J3332">
            <v>20.54</v>
          </cell>
          <cell r="K3332">
            <v>18.380600000000001</v>
          </cell>
        </row>
        <row r="3333">
          <cell r="A3333">
            <v>34298</v>
          </cell>
          <cell r="J3333">
            <v>19.37</v>
          </cell>
          <cell r="K3333">
            <v>17.400300000000001</v>
          </cell>
        </row>
        <row r="3334">
          <cell r="A3334">
            <v>34299</v>
          </cell>
          <cell r="J3334">
            <v>19.62</v>
          </cell>
          <cell r="K3334">
            <v>17.216200000000001</v>
          </cell>
        </row>
        <row r="3335">
          <cell r="A3335">
            <v>34302</v>
          </cell>
          <cell r="J3335">
            <v>18.52</v>
          </cell>
          <cell r="K3335">
            <v>16.457000000000001</v>
          </cell>
        </row>
        <row r="3336">
          <cell r="A3336">
            <v>34303</v>
          </cell>
          <cell r="J3336">
            <v>17.600000000000001</v>
          </cell>
          <cell r="K3336">
            <v>16.111999999999998</v>
          </cell>
        </row>
        <row r="3337">
          <cell r="A3337">
            <v>34304</v>
          </cell>
          <cell r="J3337">
            <v>17.07</v>
          </cell>
          <cell r="K3337">
            <v>16.1997</v>
          </cell>
        </row>
        <row r="3338">
          <cell r="A3338">
            <v>34305</v>
          </cell>
          <cell r="J3338">
            <v>17.38</v>
          </cell>
          <cell r="K3338">
            <v>15.9817</v>
          </cell>
        </row>
        <row r="3339">
          <cell r="A3339">
            <v>34306</v>
          </cell>
          <cell r="J3339">
            <v>16.579999999999998</v>
          </cell>
          <cell r="K3339">
            <v>15.4236</v>
          </cell>
        </row>
        <row r="3340">
          <cell r="A3340">
            <v>34309</v>
          </cell>
          <cell r="J3340">
            <v>16.8</v>
          </cell>
          <cell r="K3340">
            <v>15.0989</v>
          </cell>
        </row>
        <row r="3341">
          <cell r="A3341">
            <v>34310</v>
          </cell>
          <cell r="J3341">
            <v>16.600000000000001</v>
          </cell>
          <cell r="K3341">
            <v>15.7508</v>
          </cell>
        </row>
        <row r="3342">
          <cell r="A3342">
            <v>34311</v>
          </cell>
          <cell r="J3342">
            <v>16.850000000000001</v>
          </cell>
          <cell r="K3342">
            <v>15.866</v>
          </cell>
        </row>
        <row r="3343">
          <cell r="A3343">
            <v>34312</v>
          </cell>
          <cell r="J3343">
            <v>17.47</v>
          </cell>
          <cell r="K3343">
            <v>15.6676</v>
          </cell>
        </row>
        <row r="3344">
          <cell r="A3344">
            <v>34313</v>
          </cell>
          <cell r="J3344">
            <v>16.690000000000001</v>
          </cell>
          <cell r="K3344">
            <v>15.2575</v>
          </cell>
        </row>
        <row r="3345">
          <cell r="A3345">
            <v>34316</v>
          </cell>
          <cell r="J3345">
            <v>16.02</v>
          </cell>
          <cell r="K3345">
            <v>14.7547</v>
          </cell>
        </row>
        <row r="3346">
          <cell r="A3346">
            <v>34317</v>
          </cell>
          <cell r="J3346">
            <v>15.54</v>
          </cell>
          <cell r="K3346">
            <v>14.5555</v>
          </cell>
        </row>
        <row r="3347">
          <cell r="A3347">
            <v>34318</v>
          </cell>
          <cell r="J3347">
            <v>20.079999999999998</v>
          </cell>
          <cell r="K3347">
            <v>17.517600000000002</v>
          </cell>
        </row>
        <row r="3348">
          <cell r="A3348">
            <v>34319</v>
          </cell>
          <cell r="J3348">
            <v>18.88</v>
          </cell>
          <cell r="K3348">
            <v>17.871200000000002</v>
          </cell>
        </row>
        <row r="3349">
          <cell r="A3349">
            <v>34320</v>
          </cell>
          <cell r="J3349">
            <v>17.850000000000001</v>
          </cell>
          <cell r="K3349">
            <v>17.1387</v>
          </cell>
        </row>
        <row r="3350">
          <cell r="A3350">
            <v>34323</v>
          </cell>
          <cell r="J3350">
            <v>18.739999999999998</v>
          </cell>
          <cell r="K3350">
            <v>17.015499999999999</v>
          </cell>
        </row>
        <row r="3351">
          <cell r="A3351">
            <v>34324</v>
          </cell>
          <cell r="J3351">
            <v>18</v>
          </cell>
          <cell r="K3351">
            <v>16.215399999999999</v>
          </cell>
        </row>
        <row r="3352">
          <cell r="A3352">
            <v>34325</v>
          </cell>
          <cell r="J3352">
            <v>17.100000000000001</v>
          </cell>
          <cell r="K3352">
            <v>15.6942</v>
          </cell>
        </row>
        <row r="3353">
          <cell r="A3353">
            <v>34326</v>
          </cell>
          <cell r="J3353">
            <v>16.53</v>
          </cell>
          <cell r="K3353">
            <v>15.1792</v>
          </cell>
        </row>
        <row r="3354">
          <cell r="A3354">
            <v>34327</v>
          </cell>
          <cell r="J3354">
            <v>16.420000000000002</v>
          </cell>
          <cell r="K3354">
            <v>15.3864</v>
          </cell>
        </row>
        <row r="3355">
          <cell r="A3355">
            <v>34330</v>
          </cell>
          <cell r="J3355">
            <v>15.76</v>
          </cell>
          <cell r="K3355">
            <v>14.861800000000001</v>
          </cell>
        </row>
        <row r="3356">
          <cell r="A3356">
            <v>34331</v>
          </cell>
          <cell r="J3356">
            <v>15.71</v>
          </cell>
          <cell r="K3356">
            <v>14.460599999999999</v>
          </cell>
        </row>
        <row r="3357">
          <cell r="A3357">
            <v>34332</v>
          </cell>
          <cell r="J3357">
            <v>15.6</v>
          </cell>
          <cell r="K3357">
            <v>14.8835</v>
          </cell>
        </row>
        <row r="3358">
          <cell r="A3358">
            <v>34333</v>
          </cell>
          <cell r="J3358">
            <v>15.1</v>
          </cell>
          <cell r="K3358">
            <v>14.7478</v>
          </cell>
        </row>
        <row r="3359">
          <cell r="A3359">
            <v>34334</v>
          </cell>
          <cell r="J3359">
            <v>16.760000000000002</v>
          </cell>
          <cell r="K3359">
            <v>17.000800000000002</v>
          </cell>
        </row>
        <row r="3360">
          <cell r="A3360">
            <v>34337</v>
          </cell>
          <cell r="J3360">
            <v>16.829999999999998</v>
          </cell>
          <cell r="K3360">
            <v>16.625299999999999</v>
          </cell>
        </row>
        <row r="3361">
          <cell r="A3361">
            <v>34338</v>
          </cell>
          <cell r="J3361">
            <v>16.399999999999999</v>
          </cell>
          <cell r="K3361">
            <v>15.901</v>
          </cell>
        </row>
        <row r="3362">
          <cell r="A3362">
            <v>34339</v>
          </cell>
          <cell r="J3362">
            <v>16.350000000000001</v>
          </cell>
          <cell r="K3362">
            <v>15.5143</v>
          </cell>
        </row>
        <row r="3363">
          <cell r="A3363">
            <v>34340</v>
          </cell>
          <cell r="J3363">
            <v>16.8</v>
          </cell>
          <cell r="K3363">
            <v>15.496</v>
          </cell>
        </row>
        <row r="3364">
          <cell r="A3364">
            <v>34341</v>
          </cell>
          <cell r="J3364">
            <v>16.489999999999998</v>
          </cell>
          <cell r="K3364">
            <v>15.9411</v>
          </cell>
        </row>
        <row r="3365">
          <cell r="A3365">
            <v>34344</v>
          </cell>
          <cell r="J3365">
            <v>17.37</v>
          </cell>
          <cell r="K3365">
            <v>16.412800000000001</v>
          </cell>
        </row>
        <row r="3366">
          <cell r="A3366">
            <v>34345</v>
          </cell>
          <cell r="J3366">
            <v>16.59</v>
          </cell>
          <cell r="K3366">
            <v>15.847</v>
          </cell>
        </row>
        <row r="3367">
          <cell r="A3367">
            <v>34346</v>
          </cell>
          <cell r="J3367">
            <v>16.07</v>
          </cell>
          <cell r="K3367">
            <v>16.207799999999999</v>
          </cell>
        </row>
        <row r="3368">
          <cell r="A3368">
            <v>34347</v>
          </cell>
          <cell r="J3368">
            <v>19.829999999999998</v>
          </cell>
          <cell r="K3368">
            <v>17.660499999999999</v>
          </cell>
        </row>
        <row r="3369">
          <cell r="A3369">
            <v>34348</v>
          </cell>
          <cell r="J3369">
            <v>22.05</v>
          </cell>
          <cell r="K3369">
            <v>19.6432</v>
          </cell>
        </row>
        <row r="3370">
          <cell r="A3370">
            <v>34351</v>
          </cell>
          <cell r="J3370">
            <v>20.57</v>
          </cell>
          <cell r="K3370">
            <v>19.201899999999998</v>
          </cell>
        </row>
        <row r="3371">
          <cell r="A3371">
            <v>34352</v>
          </cell>
          <cell r="J3371">
            <v>20.94</v>
          </cell>
          <cell r="K3371">
            <v>18.923200000000001</v>
          </cell>
        </row>
        <row r="3372">
          <cell r="A3372">
            <v>34353</v>
          </cell>
          <cell r="J3372">
            <v>19.989999999999998</v>
          </cell>
          <cell r="K3372">
            <v>18.938700000000001</v>
          </cell>
        </row>
        <row r="3373">
          <cell r="A3373">
            <v>34354</v>
          </cell>
          <cell r="J3373">
            <v>19.47</v>
          </cell>
          <cell r="K3373">
            <v>18.167400000000001</v>
          </cell>
        </row>
        <row r="3374">
          <cell r="A3374">
            <v>34355</v>
          </cell>
          <cell r="J3374">
            <v>18.78</v>
          </cell>
          <cell r="K3374">
            <v>17.438800000000001</v>
          </cell>
        </row>
        <row r="3375">
          <cell r="A3375">
            <v>34358</v>
          </cell>
          <cell r="J3375">
            <v>18.809999999999999</v>
          </cell>
          <cell r="K3375">
            <v>18.5593</v>
          </cell>
        </row>
        <row r="3376">
          <cell r="A3376">
            <v>34359</v>
          </cell>
          <cell r="J3376">
            <v>18.079999999999998</v>
          </cell>
          <cell r="K3376">
            <v>18.442299999999999</v>
          </cell>
        </row>
        <row r="3377">
          <cell r="A3377">
            <v>34360</v>
          </cell>
          <cell r="J3377">
            <v>17.170000000000002</v>
          </cell>
          <cell r="K3377">
            <v>18.910299999999999</v>
          </cell>
        </row>
        <row r="3378">
          <cell r="A3378">
            <v>34361</v>
          </cell>
          <cell r="J3378">
            <v>16.399999999999999</v>
          </cell>
          <cell r="K3378">
            <v>18.064499999999999</v>
          </cell>
        </row>
        <row r="3379">
          <cell r="A3379">
            <v>34362</v>
          </cell>
          <cell r="J3379">
            <v>15.75</v>
          </cell>
          <cell r="K3379">
            <v>17.5154</v>
          </cell>
        </row>
        <row r="3380">
          <cell r="A3380">
            <v>34365</v>
          </cell>
          <cell r="J3380">
            <v>18.12</v>
          </cell>
          <cell r="K3380">
            <v>17.8719</v>
          </cell>
        </row>
        <row r="3381">
          <cell r="A3381">
            <v>34366</v>
          </cell>
          <cell r="J3381">
            <v>17.2</v>
          </cell>
          <cell r="K3381">
            <v>17.031199999999998</v>
          </cell>
        </row>
        <row r="3382">
          <cell r="A3382">
            <v>34367</v>
          </cell>
          <cell r="J3382">
            <v>16.579999999999998</v>
          </cell>
          <cell r="K3382">
            <v>16.2788</v>
          </cell>
        </row>
        <row r="3383">
          <cell r="A3383">
            <v>34368</v>
          </cell>
          <cell r="J3383">
            <v>15.95</v>
          </cell>
          <cell r="K3383">
            <v>15.7943</v>
          </cell>
        </row>
        <row r="3384">
          <cell r="A3384">
            <v>34369</v>
          </cell>
          <cell r="J3384">
            <v>16.899999999999999</v>
          </cell>
          <cell r="K3384">
            <v>16.178100000000001</v>
          </cell>
        </row>
        <row r="3385">
          <cell r="A3385">
            <v>34372</v>
          </cell>
          <cell r="J3385">
            <v>16.25</v>
          </cell>
          <cell r="K3385">
            <v>18.355799999999999</v>
          </cell>
        </row>
        <row r="3386">
          <cell r="A3386">
            <v>34373</v>
          </cell>
          <cell r="J3386">
            <v>24.09</v>
          </cell>
          <cell r="K3386">
            <v>24.665700000000001</v>
          </cell>
        </row>
        <row r="3387">
          <cell r="A3387">
            <v>34374</v>
          </cell>
          <cell r="J3387">
            <v>22.33</v>
          </cell>
          <cell r="K3387">
            <v>23.2422</v>
          </cell>
        </row>
        <row r="3388">
          <cell r="A3388">
            <v>34375</v>
          </cell>
          <cell r="J3388">
            <v>20.81</v>
          </cell>
          <cell r="K3388">
            <v>21.8642</v>
          </cell>
        </row>
        <row r="3389">
          <cell r="A3389">
            <v>34376</v>
          </cell>
          <cell r="J3389">
            <v>19.54</v>
          </cell>
          <cell r="K3389">
            <v>20.898900000000001</v>
          </cell>
        </row>
        <row r="3390">
          <cell r="A3390">
            <v>34379</v>
          </cell>
          <cell r="J3390">
            <v>19.59</v>
          </cell>
          <cell r="K3390">
            <v>20.186599999999999</v>
          </cell>
        </row>
        <row r="3391">
          <cell r="A3391">
            <v>34380</v>
          </cell>
          <cell r="J3391">
            <v>19.43</v>
          </cell>
          <cell r="K3391">
            <v>19.6846</v>
          </cell>
        </row>
        <row r="3392">
          <cell r="A3392">
            <v>34381</v>
          </cell>
          <cell r="J3392">
            <v>19.309999999999999</v>
          </cell>
          <cell r="K3392">
            <v>18.986899999999999</v>
          </cell>
        </row>
        <row r="3393">
          <cell r="A3393">
            <v>34382</v>
          </cell>
          <cell r="J3393">
            <v>18.23</v>
          </cell>
          <cell r="K3393">
            <v>18.1907</v>
          </cell>
        </row>
        <row r="3394">
          <cell r="A3394">
            <v>34383</v>
          </cell>
          <cell r="J3394">
            <v>17.3</v>
          </cell>
          <cell r="K3394">
            <v>17.7164</v>
          </cell>
        </row>
        <row r="3395">
          <cell r="A3395">
            <v>34386</v>
          </cell>
          <cell r="J3395">
            <v>16.98</v>
          </cell>
          <cell r="K3395">
            <v>17.914300000000001</v>
          </cell>
        </row>
        <row r="3396">
          <cell r="A3396">
            <v>34387</v>
          </cell>
          <cell r="J3396">
            <v>20.239999999999998</v>
          </cell>
          <cell r="K3396">
            <v>19.462299999999999</v>
          </cell>
        </row>
        <row r="3397">
          <cell r="A3397">
            <v>34388</v>
          </cell>
          <cell r="J3397">
            <v>19.02</v>
          </cell>
          <cell r="K3397">
            <v>18.9374</v>
          </cell>
        </row>
        <row r="3398">
          <cell r="A3398">
            <v>34389</v>
          </cell>
          <cell r="J3398">
            <v>18.45</v>
          </cell>
          <cell r="K3398">
            <v>17.910900000000002</v>
          </cell>
        </row>
        <row r="3399">
          <cell r="A3399">
            <v>34390</v>
          </cell>
          <cell r="J3399">
            <v>20.92</v>
          </cell>
          <cell r="K3399">
            <v>21.566600000000001</v>
          </cell>
        </row>
        <row r="3400">
          <cell r="A3400">
            <v>34393</v>
          </cell>
          <cell r="J3400">
            <v>19.87</v>
          </cell>
          <cell r="K3400">
            <v>20.194199999999999</v>
          </cell>
        </row>
        <row r="3401">
          <cell r="A3401">
            <v>34394</v>
          </cell>
          <cell r="J3401">
            <v>20.25</v>
          </cell>
          <cell r="K3401">
            <v>19.540400000000002</v>
          </cell>
        </row>
        <row r="3402">
          <cell r="A3402">
            <v>34395</v>
          </cell>
          <cell r="J3402">
            <v>23.74</v>
          </cell>
          <cell r="K3402">
            <v>21.564399999999999</v>
          </cell>
        </row>
        <row r="3403">
          <cell r="A3403">
            <v>34396</v>
          </cell>
          <cell r="J3403">
            <v>24.17</v>
          </cell>
          <cell r="K3403">
            <v>22.5032</v>
          </cell>
        </row>
        <row r="3404">
          <cell r="A3404">
            <v>34397</v>
          </cell>
          <cell r="J3404">
            <v>22.42</v>
          </cell>
          <cell r="K3404">
            <v>21.0915</v>
          </cell>
        </row>
        <row r="3405">
          <cell r="A3405">
            <v>34400</v>
          </cell>
          <cell r="J3405">
            <v>20.9</v>
          </cell>
          <cell r="K3405">
            <v>19.980699999999999</v>
          </cell>
        </row>
        <row r="3406">
          <cell r="A3406">
            <v>34401</v>
          </cell>
          <cell r="J3406">
            <v>21.42</v>
          </cell>
          <cell r="K3406">
            <v>19.811499999999999</v>
          </cell>
        </row>
        <row r="3407">
          <cell r="A3407">
            <v>34402</v>
          </cell>
          <cell r="J3407">
            <v>20.100000000000001</v>
          </cell>
          <cell r="K3407">
            <v>19.416399999999999</v>
          </cell>
        </row>
        <row r="3408">
          <cell r="A3408">
            <v>34403</v>
          </cell>
          <cell r="J3408">
            <v>19.23</v>
          </cell>
          <cell r="K3408">
            <v>18.557099999999998</v>
          </cell>
        </row>
        <row r="3409">
          <cell r="A3409">
            <v>34404</v>
          </cell>
          <cell r="J3409">
            <v>18.149999999999999</v>
          </cell>
          <cell r="K3409">
            <v>18.152999999999999</v>
          </cell>
        </row>
        <row r="3410">
          <cell r="A3410">
            <v>34407</v>
          </cell>
          <cell r="J3410">
            <v>17.239999999999998</v>
          </cell>
          <cell r="K3410">
            <v>17.9587</v>
          </cell>
        </row>
        <row r="3411">
          <cell r="A3411">
            <v>34408</v>
          </cell>
          <cell r="J3411">
            <v>16.84</v>
          </cell>
          <cell r="K3411">
            <v>17.082799999999999</v>
          </cell>
        </row>
        <row r="3412">
          <cell r="A3412">
            <v>34409</v>
          </cell>
          <cell r="J3412">
            <v>16.96</v>
          </cell>
          <cell r="K3412">
            <v>16.502199999999998</v>
          </cell>
        </row>
        <row r="3413">
          <cell r="A3413">
            <v>34410</v>
          </cell>
          <cell r="J3413">
            <v>16.399999999999999</v>
          </cell>
          <cell r="K3413">
            <v>16.276</v>
          </cell>
        </row>
        <row r="3414">
          <cell r="A3414">
            <v>34411</v>
          </cell>
          <cell r="J3414">
            <v>15.86</v>
          </cell>
          <cell r="K3414">
            <v>15.6058</v>
          </cell>
        </row>
        <row r="3415">
          <cell r="A3415">
            <v>34414</v>
          </cell>
          <cell r="J3415">
            <v>19.489999999999998</v>
          </cell>
          <cell r="K3415">
            <v>18.769200000000001</v>
          </cell>
        </row>
        <row r="3416">
          <cell r="A3416">
            <v>34415</v>
          </cell>
          <cell r="J3416">
            <v>19.57</v>
          </cell>
          <cell r="K3416">
            <v>19.0321</v>
          </cell>
        </row>
        <row r="3417">
          <cell r="A3417">
            <v>34416</v>
          </cell>
          <cell r="J3417">
            <v>18.46</v>
          </cell>
          <cell r="K3417">
            <v>18.1997</v>
          </cell>
        </row>
        <row r="3418">
          <cell r="A3418">
            <v>34417</v>
          </cell>
          <cell r="J3418">
            <v>17.489999999999998</v>
          </cell>
          <cell r="K3418">
            <v>17.398900000000001</v>
          </cell>
        </row>
        <row r="3419">
          <cell r="A3419">
            <v>34418</v>
          </cell>
          <cell r="J3419">
            <v>19.05</v>
          </cell>
          <cell r="K3419">
            <v>18.669699999999999</v>
          </cell>
        </row>
        <row r="3420">
          <cell r="A3420">
            <v>34421</v>
          </cell>
          <cell r="J3420">
            <v>18.43</v>
          </cell>
          <cell r="K3420">
            <v>18.6557</v>
          </cell>
        </row>
        <row r="3421">
          <cell r="A3421">
            <v>34422</v>
          </cell>
          <cell r="J3421">
            <v>17.52</v>
          </cell>
          <cell r="K3421">
            <v>17.685400000000001</v>
          </cell>
        </row>
        <row r="3422">
          <cell r="A3422">
            <v>34423</v>
          </cell>
          <cell r="J3422">
            <v>17.36</v>
          </cell>
          <cell r="K3422">
            <v>17.831900000000001</v>
          </cell>
        </row>
        <row r="3423">
          <cell r="A3423">
            <v>34424</v>
          </cell>
          <cell r="J3423">
            <v>21.42</v>
          </cell>
          <cell r="K3423">
            <v>21.001200000000001</v>
          </cell>
        </row>
        <row r="3424">
          <cell r="A3424">
            <v>34425</v>
          </cell>
          <cell r="J3424">
            <v>20.11</v>
          </cell>
          <cell r="K3424">
            <v>19.756499999999999</v>
          </cell>
        </row>
        <row r="3425">
          <cell r="A3425">
            <v>34428</v>
          </cell>
          <cell r="J3425">
            <v>21.14</v>
          </cell>
          <cell r="K3425">
            <v>20.511299999999999</v>
          </cell>
        </row>
        <row r="3426">
          <cell r="A3426">
            <v>34429</v>
          </cell>
          <cell r="J3426">
            <v>19.95</v>
          </cell>
          <cell r="K3426">
            <v>19.870799999999999</v>
          </cell>
        </row>
        <row r="3427">
          <cell r="A3427">
            <v>34430</v>
          </cell>
          <cell r="J3427">
            <v>18.77</v>
          </cell>
          <cell r="K3427">
            <v>18.736999999999998</v>
          </cell>
        </row>
        <row r="3428">
          <cell r="A3428">
            <v>34431</v>
          </cell>
          <cell r="J3428">
            <v>17.93</v>
          </cell>
          <cell r="K3428">
            <v>17.947199999999999</v>
          </cell>
        </row>
        <row r="3429">
          <cell r="A3429">
            <v>34432</v>
          </cell>
          <cell r="J3429">
            <v>17.87</v>
          </cell>
          <cell r="K3429">
            <v>17.508400000000002</v>
          </cell>
        </row>
        <row r="3430">
          <cell r="A3430">
            <v>34435</v>
          </cell>
          <cell r="J3430">
            <v>17.07</v>
          </cell>
          <cell r="K3430">
            <v>17.0318</v>
          </cell>
        </row>
        <row r="3431">
          <cell r="A3431">
            <v>34436</v>
          </cell>
          <cell r="J3431">
            <v>18.02</v>
          </cell>
          <cell r="K3431">
            <v>17.022200000000002</v>
          </cell>
        </row>
        <row r="3432">
          <cell r="A3432">
            <v>34437</v>
          </cell>
          <cell r="J3432">
            <v>17.32</v>
          </cell>
          <cell r="K3432">
            <v>16.7135</v>
          </cell>
        </row>
        <row r="3433">
          <cell r="A3433">
            <v>34438</v>
          </cell>
          <cell r="J3433">
            <v>16.600000000000001</v>
          </cell>
          <cell r="K3433">
            <v>16.267099999999999</v>
          </cell>
        </row>
        <row r="3434">
          <cell r="A3434">
            <v>34439</v>
          </cell>
          <cell r="J3434">
            <v>16.29</v>
          </cell>
          <cell r="K3434">
            <v>15.991099999999999</v>
          </cell>
        </row>
        <row r="3435">
          <cell r="A3435">
            <v>34442</v>
          </cell>
          <cell r="J3435">
            <v>15.76</v>
          </cell>
          <cell r="K3435">
            <v>15.4406</v>
          </cell>
        </row>
        <row r="3436">
          <cell r="A3436">
            <v>34443</v>
          </cell>
          <cell r="J3436">
            <v>15.81</v>
          </cell>
          <cell r="K3436">
            <v>16.058399999999999</v>
          </cell>
        </row>
        <row r="3437">
          <cell r="A3437">
            <v>34444</v>
          </cell>
          <cell r="J3437">
            <v>15.48</v>
          </cell>
          <cell r="K3437">
            <v>15.7027</v>
          </cell>
        </row>
        <row r="3438">
          <cell r="A3438">
            <v>34445</v>
          </cell>
          <cell r="J3438">
            <v>17.02</v>
          </cell>
          <cell r="K3438">
            <v>16.368400000000001</v>
          </cell>
        </row>
        <row r="3439">
          <cell r="A3439">
            <v>34446</v>
          </cell>
          <cell r="J3439">
            <v>16.37</v>
          </cell>
          <cell r="K3439">
            <v>15.715</v>
          </cell>
        </row>
        <row r="3440">
          <cell r="A3440">
            <v>34449</v>
          </cell>
          <cell r="J3440">
            <v>16.850000000000001</v>
          </cell>
          <cell r="K3440">
            <v>15.3028</v>
          </cell>
        </row>
        <row r="3441">
          <cell r="A3441">
            <v>34450</v>
          </cell>
          <cell r="J3441">
            <v>16.23</v>
          </cell>
          <cell r="K3441">
            <v>15.111000000000001</v>
          </cell>
        </row>
        <row r="3442">
          <cell r="A3442">
            <v>34451</v>
          </cell>
          <cell r="J3442">
            <v>15.77</v>
          </cell>
          <cell r="K3442">
            <v>14.956899999999999</v>
          </cell>
        </row>
        <row r="3443">
          <cell r="A3443">
            <v>34452</v>
          </cell>
          <cell r="J3443">
            <v>15.95</v>
          </cell>
          <cell r="K3443">
            <v>14.6335</v>
          </cell>
        </row>
        <row r="3444">
          <cell r="A3444">
            <v>34453</v>
          </cell>
          <cell r="J3444">
            <v>15.4</v>
          </cell>
          <cell r="K3444">
            <v>14.594900000000001</v>
          </cell>
        </row>
        <row r="3445">
          <cell r="A3445">
            <v>34456</v>
          </cell>
          <cell r="J3445">
            <v>16.09</v>
          </cell>
          <cell r="K3445">
            <v>14.6929</v>
          </cell>
        </row>
        <row r="3446">
          <cell r="A3446">
            <v>34457</v>
          </cell>
          <cell r="J3446">
            <v>16.38</v>
          </cell>
          <cell r="K3446">
            <v>14.4983</v>
          </cell>
        </row>
        <row r="3447">
          <cell r="A3447">
            <v>34458</v>
          </cell>
          <cell r="J3447">
            <v>15.8</v>
          </cell>
          <cell r="K3447">
            <v>14.616</v>
          </cell>
        </row>
        <row r="3448">
          <cell r="A3448">
            <v>34459</v>
          </cell>
          <cell r="J3448">
            <v>21.31</v>
          </cell>
          <cell r="K3448">
            <v>18.497599999999998</v>
          </cell>
        </row>
        <row r="3449">
          <cell r="A3449">
            <v>34460</v>
          </cell>
          <cell r="J3449">
            <v>19.93</v>
          </cell>
          <cell r="K3449">
            <v>18.515000000000001</v>
          </cell>
        </row>
        <row r="3450">
          <cell r="A3450">
            <v>34463</v>
          </cell>
          <cell r="J3450">
            <v>18.850000000000001</v>
          </cell>
          <cell r="K3450">
            <v>17.799399999999999</v>
          </cell>
        </row>
        <row r="3451">
          <cell r="A3451">
            <v>34464</v>
          </cell>
          <cell r="J3451">
            <v>18.13</v>
          </cell>
          <cell r="K3451">
            <v>17.795100000000001</v>
          </cell>
        </row>
        <row r="3452">
          <cell r="A3452">
            <v>34465</v>
          </cell>
          <cell r="J3452">
            <v>17.239999999999998</v>
          </cell>
          <cell r="K3452">
            <v>16.957999999999998</v>
          </cell>
        </row>
        <row r="3453">
          <cell r="A3453">
            <v>34466</v>
          </cell>
          <cell r="J3453">
            <v>16.489999999999998</v>
          </cell>
          <cell r="K3453">
            <v>16.453600000000002</v>
          </cell>
        </row>
        <row r="3454">
          <cell r="A3454">
            <v>34467</v>
          </cell>
          <cell r="J3454">
            <v>15.83</v>
          </cell>
          <cell r="K3454">
            <v>15.685499999999999</v>
          </cell>
        </row>
        <row r="3455">
          <cell r="A3455">
            <v>34470</v>
          </cell>
          <cell r="J3455">
            <v>15.48</v>
          </cell>
          <cell r="K3455">
            <v>15.1761</v>
          </cell>
        </row>
        <row r="3456">
          <cell r="A3456">
            <v>34471</v>
          </cell>
          <cell r="J3456">
            <v>15.37</v>
          </cell>
          <cell r="K3456">
            <v>14.904299999999999</v>
          </cell>
        </row>
        <row r="3457">
          <cell r="A3457">
            <v>34472</v>
          </cell>
          <cell r="J3457">
            <v>15.03</v>
          </cell>
          <cell r="K3457">
            <v>14.4558</v>
          </cell>
        </row>
        <row r="3458">
          <cell r="A3458">
            <v>34473</v>
          </cell>
          <cell r="J3458">
            <v>14.63</v>
          </cell>
          <cell r="K3458">
            <v>14.2852</v>
          </cell>
        </row>
        <row r="3459">
          <cell r="A3459">
            <v>34474</v>
          </cell>
          <cell r="J3459">
            <v>14.92</v>
          </cell>
          <cell r="K3459">
            <v>14.074400000000001</v>
          </cell>
        </row>
        <row r="3460">
          <cell r="A3460">
            <v>34477</v>
          </cell>
          <cell r="J3460">
            <v>14.52</v>
          </cell>
          <cell r="K3460">
            <v>14.040800000000001</v>
          </cell>
        </row>
        <row r="3461">
          <cell r="A3461">
            <v>34478</v>
          </cell>
          <cell r="J3461">
            <v>14.25</v>
          </cell>
          <cell r="K3461">
            <v>14.0867</v>
          </cell>
        </row>
        <row r="3462">
          <cell r="A3462">
            <v>34479</v>
          </cell>
          <cell r="J3462">
            <v>16.329999999999998</v>
          </cell>
          <cell r="K3462">
            <v>15.996700000000001</v>
          </cell>
        </row>
        <row r="3463">
          <cell r="A3463">
            <v>34480</v>
          </cell>
          <cell r="J3463">
            <v>19.32</v>
          </cell>
          <cell r="K3463">
            <v>18.2425</v>
          </cell>
        </row>
        <row r="3464">
          <cell r="A3464">
            <v>34481</v>
          </cell>
          <cell r="J3464">
            <v>18.23</v>
          </cell>
          <cell r="K3464">
            <v>17.5944</v>
          </cell>
        </row>
        <row r="3465">
          <cell r="A3465">
            <v>34484</v>
          </cell>
          <cell r="J3465">
            <v>20.61</v>
          </cell>
          <cell r="K3465">
            <v>19.323799999999999</v>
          </cell>
        </row>
        <row r="3466">
          <cell r="A3466">
            <v>34485</v>
          </cell>
          <cell r="J3466">
            <v>19.41</v>
          </cell>
          <cell r="K3466">
            <v>18.7529</v>
          </cell>
        </row>
        <row r="3467">
          <cell r="A3467">
            <v>34486</v>
          </cell>
          <cell r="J3467">
            <v>19.52</v>
          </cell>
          <cell r="K3467">
            <v>18.320900000000002</v>
          </cell>
        </row>
        <row r="3468">
          <cell r="A3468">
            <v>34487</v>
          </cell>
          <cell r="J3468">
            <v>23.08</v>
          </cell>
          <cell r="K3468">
            <v>20.1614</v>
          </cell>
        </row>
        <row r="3469">
          <cell r="A3469">
            <v>34488</v>
          </cell>
          <cell r="J3469">
            <v>21.58</v>
          </cell>
          <cell r="K3469">
            <v>19.398499999999999</v>
          </cell>
        </row>
        <row r="3470">
          <cell r="A3470">
            <v>34491</v>
          </cell>
          <cell r="J3470">
            <v>20.3</v>
          </cell>
          <cell r="K3470">
            <v>18.444800000000001</v>
          </cell>
        </row>
        <row r="3471">
          <cell r="A3471">
            <v>34492</v>
          </cell>
          <cell r="J3471">
            <v>19.420000000000002</v>
          </cell>
          <cell r="K3471">
            <v>17.859400000000001</v>
          </cell>
        </row>
        <row r="3472">
          <cell r="A3472">
            <v>34493</v>
          </cell>
          <cell r="J3472">
            <v>18.989999999999998</v>
          </cell>
          <cell r="K3472">
            <v>17.652799999999999</v>
          </cell>
        </row>
        <row r="3473">
          <cell r="A3473">
            <v>34494</v>
          </cell>
          <cell r="J3473">
            <v>18.46</v>
          </cell>
          <cell r="K3473">
            <v>17.323799999999999</v>
          </cell>
        </row>
        <row r="3474">
          <cell r="A3474">
            <v>34495</v>
          </cell>
          <cell r="J3474">
            <v>18.809999999999999</v>
          </cell>
          <cell r="K3474">
            <v>17.198399999999999</v>
          </cell>
        </row>
        <row r="3475">
          <cell r="A3475">
            <v>34498</v>
          </cell>
          <cell r="J3475">
            <v>17.87</v>
          </cell>
          <cell r="K3475">
            <v>16.4741</v>
          </cell>
        </row>
        <row r="3476">
          <cell r="A3476">
            <v>34499</v>
          </cell>
          <cell r="J3476">
            <v>18.809999999999999</v>
          </cell>
          <cell r="K3476">
            <v>16.928599999999999</v>
          </cell>
        </row>
        <row r="3477">
          <cell r="A3477">
            <v>34500</v>
          </cell>
          <cell r="J3477">
            <v>18.05</v>
          </cell>
          <cell r="K3477">
            <v>17.087399999999999</v>
          </cell>
        </row>
        <row r="3478">
          <cell r="A3478">
            <v>34501</v>
          </cell>
          <cell r="J3478">
            <v>17.72</v>
          </cell>
          <cell r="K3478">
            <v>16.665299999999998</v>
          </cell>
        </row>
        <row r="3479">
          <cell r="A3479">
            <v>34502</v>
          </cell>
          <cell r="J3479">
            <v>18.12</v>
          </cell>
          <cell r="K3479">
            <v>16.930800000000001</v>
          </cell>
        </row>
        <row r="3480">
          <cell r="A3480">
            <v>34505</v>
          </cell>
          <cell r="J3480">
            <v>17.5</v>
          </cell>
          <cell r="K3480">
            <v>16.715699999999998</v>
          </cell>
        </row>
        <row r="3481">
          <cell r="A3481">
            <v>34506</v>
          </cell>
          <cell r="J3481">
            <v>16.760000000000002</v>
          </cell>
          <cell r="K3481">
            <v>17.149699999999999</v>
          </cell>
        </row>
        <row r="3482">
          <cell r="A3482">
            <v>34507</v>
          </cell>
          <cell r="J3482">
            <v>17.09</v>
          </cell>
          <cell r="K3482">
            <v>18.023299999999999</v>
          </cell>
        </row>
        <row r="3483">
          <cell r="A3483">
            <v>34508</v>
          </cell>
          <cell r="J3483">
            <v>16.91</v>
          </cell>
          <cell r="K3483">
            <v>17.2059</v>
          </cell>
        </row>
        <row r="3484">
          <cell r="A3484">
            <v>34509</v>
          </cell>
          <cell r="J3484">
            <v>16.350000000000001</v>
          </cell>
          <cell r="K3484">
            <v>16.7591</v>
          </cell>
        </row>
        <row r="3485">
          <cell r="A3485">
            <v>34512</v>
          </cell>
          <cell r="J3485">
            <v>17.48</v>
          </cell>
          <cell r="K3485">
            <v>18.970700000000001</v>
          </cell>
        </row>
        <row r="3486">
          <cell r="A3486">
            <v>34513</v>
          </cell>
          <cell r="J3486">
            <v>17.43</v>
          </cell>
          <cell r="K3486">
            <v>18.252400000000002</v>
          </cell>
        </row>
        <row r="3487">
          <cell r="A3487">
            <v>34514</v>
          </cell>
          <cell r="J3487">
            <v>16.63</v>
          </cell>
          <cell r="K3487">
            <v>17.307700000000001</v>
          </cell>
        </row>
        <row r="3488">
          <cell r="A3488">
            <v>34515</v>
          </cell>
          <cell r="J3488">
            <v>16.059999999999999</v>
          </cell>
          <cell r="K3488">
            <v>16.5671</v>
          </cell>
        </row>
        <row r="3489">
          <cell r="A3489">
            <v>34516</v>
          </cell>
          <cell r="J3489">
            <v>21.22</v>
          </cell>
          <cell r="K3489">
            <v>18.797999999999998</v>
          </cell>
        </row>
        <row r="3490">
          <cell r="A3490">
            <v>34519</v>
          </cell>
          <cell r="J3490">
            <v>21.01</v>
          </cell>
          <cell r="K3490">
            <v>18.220600000000001</v>
          </cell>
        </row>
        <row r="3491">
          <cell r="A3491">
            <v>34520</v>
          </cell>
          <cell r="J3491">
            <v>20.05</v>
          </cell>
          <cell r="K3491">
            <v>17.510400000000001</v>
          </cell>
        </row>
        <row r="3492">
          <cell r="A3492">
            <v>34521</v>
          </cell>
          <cell r="J3492">
            <v>19.62</v>
          </cell>
          <cell r="K3492">
            <v>16.763000000000002</v>
          </cell>
        </row>
        <row r="3493">
          <cell r="A3493">
            <v>34522</v>
          </cell>
          <cell r="J3493">
            <v>18.98</v>
          </cell>
          <cell r="K3493">
            <v>16.093900000000001</v>
          </cell>
        </row>
        <row r="3494">
          <cell r="A3494">
            <v>34523</v>
          </cell>
          <cell r="J3494">
            <v>18.2</v>
          </cell>
          <cell r="K3494">
            <v>15.687900000000001</v>
          </cell>
        </row>
        <row r="3495">
          <cell r="A3495">
            <v>34526</v>
          </cell>
          <cell r="J3495">
            <v>17.3</v>
          </cell>
          <cell r="K3495">
            <v>15.2249</v>
          </cell>
        </row>
        <row r="3496">
          <cell r="A3496">
            <v>34527</v>
          </cell>
          <cell r="J3496">
            <v>23.52</v>
          </cell>
          <cell r="K3496">
            <v>18.6371</v>
          </cell>
        </row>
        <row r="3497">
          <cell r="A3497">
            <v>34528</v>
          </cell>
          <cell r="J3497">
            <v>21.95</v>
          </cell>
          <cell r="K3497">
            <v>17.724399999999999</v>
          </cell>
        </row>
        <row r="3498">
          <cell r="A3498">
            <v>34529</v>
          </cell>
          <cell r="J3498">
            <v>20.79</v>
          </cell>
          <cell r="K3498">
            <v>17.2818</v>
          </cell>
        </row>
        <row r="3499">
          <cell r="A3499">
            <v>34530</v>
          </cell>
          <cell r="J3499">
            <v>19.95</v>
          </cell>
          <cell r="K3499">
            <v>16.601700000000001</v>
          </cell>
        </row>
        <row r="3500">
          <cell r="A3500">
            <v>34533</v>
          </cell>
          <cell r="J3500">
            <v>19.63</v>
          </cell>
          <cell r="K3500">
            <v>16.4329</v>
          </cell>
        </row>
        <row r="3501">
          <cell r="A3501">
            <v>34534</v>
          </cell>
          <cell r="J3501">
            <v>24.59</v>
          </cell>
          <cell r="K3501">
            <v>17.778700000000001</v>
          </cell>
        </row>
        <row r="3502">
          <cell r="A3502">
            <v>34535</v>
          </cell>
          <cell r="J3502">
            <v>22.78</v>
          </cell>
          <cell r="K3502">
            <v>16.9389</v>
          </cell>
        </row>
        <row r="3503">
          <cell r="A3503">
            <v>34536</v>
          </cell>
          <cell r="J3503">
            <v>21.77</v>
          </cell>
          <cell r="K3503">
            <v>17.169899999999998</v>
          </cell>
        </row>
        <row r="3504">
          <cell r="A3504">
            <v>34537</v>
          </cell>
          <cell r="J3504">
            <v>20.64</v>
          </cell>
          <cell r="K3504">
            <v>17.0123</v>
          </cell>
        </row>
        <row r="3505">
          <cell r="A3505">
            <v>34540</v>
          </cell>
          <cell r="J3505">
            <v>21.64</v>
          </cell>
          <cell r="K3505">
            <v>17.298999999999999</v>
          </cell>
        </row>
        <row r="3506">
          <cell r="A3506">
            <v>34541</v>
          </cell>
          <cell r="J3506">
            <v>21.63</v>
          </cell>
          <cell r="K3506">
            <v>16.797699999999999</v>
          </cell>
        </row>
        <row r="3507">
          <cell r="A3507">
            <v>34542</v>
          </cell>
          <cell r="J3507">
            <v>20.45</v>
          </cell>
          <cell r="K3507">
            <v>16.3186</v>
          </cell>
        </row>
        <row r="3508">
          <cell r="A3508">
            <v>34543</v>
          </cell>
          <cell r="J3508">
            <v>19.399999999999999</v>
          </cell>
          <cell r="K3508">
            <v>16.027000000000001</v>
          </cell>
        </row>
        <row r="3509">
          <cell r="A3509">
            <v>34544</v>
          </cell>
          <cell r="J3509">
            <v>18.559999999999999</v>
          </cell>
          <cell r="K3509">
            <v>15.648199999999999</v>
          </cell>
        </row>
        <row r="3510">
          <cell r="A3510">
            <v>34547</v>
          </cell>
          <cell r="J3510">
            <v>17.579999999999998</v>
          </cell>
          <cell r="K3510">
            <v>14.9824</v>
          </cell>
        </row>
        <row r="3511">
          <cell r="A3511">
            <v>34548</v>
          </cell>
          <cell r="J3511">
            <v>17.05</v>
          </cell>
          <cell r="K3511">
            <v>15.27</v>
          </cell>
        </row>
        <row r="3512">
          <cell r="A3512">
            <v>34549</v>
          </cell>
          <cell r="J3512">
            <v>17.54</v>
          </cell>
          <cell r="K3512">
            <v>15.6073</v>
          </cell>
        </row>
        <row r="3513">
          <cell r="A3513">
            <v>34550</v>
          </cell>
          <cell r="J3513">
            <v>16.77</v>
          </cell>
          <cell r="K3513">
            <v>15.050800000000001</v>
          </cell>
        </row>
        <row r="3514">
          <cell r="A3514">
            <v>34551</v>
          </cell>
          <cell r="J3514">
            <v>17.46</v>
          </cell>
          <cell r="K3514">
            <v>15.571</v>
          </cell>
        </row>
        <row r="3515">
          <cell r="A3515">
            <v>34554</v>
          </cell>
          <cell r="J3515">
            <v>16.649999999999999</v>
          </cell>
          <cell r="K3515">
            <v>15.085599999999999</v>
          </cell>
        </row>
        <row r="3516">
          <cell r="A3516">
            <v>34555</v>
          </cell>
          <cell r="J3516">
            <v>16.05</v>
          </cell>
          <cell r="K3516">
            <v>14.533200000000001</v>
          </cell>
        </row>
        <row r="3517">
          <cell r="A3517">
            <v>34556</v>
          </cell>
          <cell r="J3517">
            <v>18.12</v>
          </cell>
          <cell r="K3517">
            <v>15.7784</v>
          </cell>
        </row>
        <row r="3518">
          <cell r="A3518">
            <v>34557</v>
          </cell>
          <cell r="J3518">
            <v>17.260000000000002</v>
          </cell>
          <cell r="K3518">
            <v>15.112399999999999</v>
          </cell>
        </row>
        <row r="3519">
          <cell r="A3519">
            <v>34558</v>
          </cell>
          <cell r="J3519">
            <v>19.920000000000002</v>
          </cell>
          <cell r="K3519">
            <v>17.294599999999999</v>
          </cell>
        </row>
        <row r="3520">
          <cell r="A3520">
            <v>34561</v>
          </cell>
          <cell r="J3520">
            <v>18.73</v>
          </cell>
          <cell r="K3520">
            <v>16.522500000000001</v>
          </cell>
        </row>
        <row r="3521">
          <cell r="A3521">
            <v>34562</v>
          </cell>
          <cell r="J3521">
            <v>17.809999999999999</v>
          </cell>
          <cell r="K3521">
            <v>15.9971</v>
          </cell>
        </row>
        <row r="3522">
          <cell r="A3522">
            <v>34563</v>
          </cell>
          <cell r="J3522">
            <v>16.940000000000001</v>
          </cell>
          <cell r="K3522">
            <v>15.3024</v>
          </cell>
        </row>
        <row r="3523">
          <cell r="A3523">
            <v>34564</v>
          </cell>
          <cell r="J3523">
            <v>16.41</v>
          </cell>
          <cell r="K3523">
            <v>14.739000000000001</v>
          </cell>
        </row>
        <row r="3524">
          <cell r="A3524">
            <v>34565</v>
          </cell>
          <cell r="J3524">
            <v>16.09</v>
          </cell>
          <cell r="K3524">
            <v>14.5433</v>
          </cell>
        </row>
        <row r="3525">
          <cell r="A3525">
            <v>34568</v>
          </cell>
          <cell r="J3525">
            <v>15.53</v>
          </cell>
          <cell r="K3525">
            <v>14.113899999999999</v>
          </cell>
        </row>
        <row r="3526">
          <cell r="A3526">
            <v>34569</v>
          </cell>
          <cell r="J3526">
            <v>16.27</v>
          </cell>
          <cell r="K3526">
            <v>14.647500000000001</v>
          </cell>
        </row>
        <row r="3527">
          <cell r="A3527">
            <v>34570</v>
          </cell>
          <cell r="J3527">
            <v>15.9</v>
          </cell>
          <cell r="K3527">
            <v>15.674300000000001</v>
          </cell>
        </row>
        <row r="3528">
          <cell r="A3528">
            <v>34571</v>
          </cell>
          <cell r="J3528">
            <v>15.37</v>
          </cell>
          <cell r="K3528">
            <v>15.280200000000001</v>
          </cell>
        </row>
        <row r="3529">
          <cell r="A3529">
            <v>34572</v>
          </cell>
          <cell r="J3529">
            <v>15.03</v>
          </cell>
          <cell r="K3529">
            <v>14.6975</v>
          </cell>
        </row>
        <row r="3530">
          <cell r="A3530">
            <v>34575</v>
          </cell>
          <cell r="J3530">
            <v>14.64</v>
          </cell>
          <cell r="K3530">
            <v>14.5975</v>
          </cell>
        </row>
        <row r="3531">
          <cell r="A3531">
            <v>34576</v>
          </cell>
          <cell r="J3531">
            <v>14.94</v>
          </cell>
          <cell r="K3531">
            <v>14.9148</v>
          </cell>
        </row>
        <row r="3532">
          <cell r="A3532">
            <v>34577</v>
          </cell>
          <cell r="J3532">
            <v>15.07</v>
          </cell>
          <cell r="K3532">
            <v>14.9077</v>
          </cell>
        </row>
        <row r="3533">
          <cell r="A3533">
            <v>34578</v>
          </cell>
          <cell r="J3533">
            <v>14.7</v>
          </cell>
          <cell r="K3533">
            <v>14.469099999999999</v>
          </cell>
        </row>
        <row r="3534">
          <cell r="A3534">
            <v>34579</v>
          </cell>
          <cell r="J3534">
            <v>16.86</v>
          </cell>
          <cell r="K3534">
            <v>15.677199999999999</v>
          </cell>
        </row>
        <row r="3535">
          <cell r="A3535">
            <v>34582</v>
          </cell>
          <cell r="J3535">
            <v>16.14</v>
          </cell>
          <cell r="K3535">
            <v>15.7439</v>
          </cell>
        </row>
        <row r="3536">
          <cell r="A3536">
            <v>34583</v>
          </cell>
          <cell r="J3536">
            <v>16.28</v>
          </cell>
          <cell r="K3536">
            <v>15.492800000000001</v>
          </cell>
        </row>
        <row r="3537">
          <cell r="A3537">
            <v>34584</v>
          </cell>
          <cell r="J3537">
            <v>17.29</v>
          </cell>
          <cell r="K3537">
            <v>16.2866</v>
          </cell>
        </row>
        <row r="3538">
          <cell r="A3538">
            <v>34585</v>
          </cell>
          <cell r="J3538">
            <v>16.75</v>
          </cell>
          <cell r="K3538">
            <v>16.0045</v>
          </cell>
        </row>
        <row r="3539">
          <cell r="A3539">
            <v>34586</v>
          </cell>
          <cell r="J3539">
            <v>16.05</v>
          </cell>
          <cell r="K3539">
            <v>15.8543</v>
          </cell>
        </row>
        <row r="3540">
          <cell r="A3540">
            <v>34589</v>
          </cell>
          <cell r="J3540">
            <v>16.11</v>
          </cell>
          <cell r="K3540">
            <v>16.8185</v>
          </cell>
        </row>
        <row r="3541">
          <cell r="A3541">
            <v>34590</v>
          </cell>
          <cell r="J3541">
            <v>15.62</v>
          </cell>
          <cell r="K3541">
            <v>17.702300000000001</v>
          </cell>
        </row>
        <row r="3542">
          <cell r="A3542">
            <v>34591</v>
          </cell>
          <cell r="J3542">
            <v>15.37</v>
          </cell>
          <cell r="K3542">
            <v>17.5426</v>
          </cell>
        </row>
        <row r="3543">
          <cell r="A3543">
            <v>34592</v>
          </cell>
          <cell r="J3543">
            <v>14.94</v>
          </cell>
          <cell r="K3543">
            <v>17.105699999999999</v>
          </cell>
        </row>
        <row r="3544">
          <cell r="A3544">
            <v>34593</v>
          </cell>
          <cell r="J3544">
            <v>14.55</v>
          </cell>
          <cell r="K3544">
            <v>16.942</v>
          </cell>
        </row>
        <row r="3545">
          <cell r="A3545">
            <v>34596</v>
          </cell>
          <cell r="J3545">
            <v>18.079999999999998</v>
          </cell>
          <cell r="K3545">
            <v>18.3385</v>
          </cell>
        </row>
        <row r="3546">
          <cell r="A3546">
            <v>34597</v>
          </cell>
          <cell r="J3546">
            <v>18.510000000000002</v>
          </cell>
          <cell r="K3546">
            <v>19.938099999999999</v>
          </cell>
        </row>
        <row r="3547">
          <cell r="A3547">
            <v>34598</v>
          </cell>
          <cell r="J3547">
            <v>17.73</v>
          </cell>
          <cell r="K3547">
            <v>20.223500000000001</v>
          </cell>
        </row>
        <row r="3548">
          <cell r="A3548">
            <v>34599</v>
          </cell>
          <cell r="J3548">
            <v>17.920000000000002</v>
          </cell>
          <cell r="K3548">
            <v>19.714200000000002</v>
          </cell>
        </row>
        <row r="3549">
          <cell r="A3549">
            <v>34600</v>
          </cell>
          <cell r="J3549">
            <v>17.2</v>
          </cell>
          <cell r="K3549">
            <v>18.808</v>
          </cell>
        </row>
        <row r="3550">
          <cell r="A3550">
            <v>34603</v>
          </cell>
          <cell r="J3550">
            <v>17.579999999999998</v>
          </cell>
          <cell r="K3550">
            <v>17.966100000000001</v>
          </cell>
        </row>
        <row r="3551">
          <cell r="A3551">
            <v>34604</v>
          </cell>
          <cell r="J3551">
            <v>19.54</v>
          </cell>
          <cell r="K3551">
            <v>19.0258</v>
          </cell>
        </row>
        <row r="3552">
          <cell r="A3552">
            <v>34605</v>
          </cell>
          <cell r="J3552">
            <v>18.420000000000002</v>
          </cell>
          <cell r="K3552">
            <v>17.927399999999999</v>
          </cell>
        </row>
        <row r="3553">
          <cell r="A3553">
            <v>34606</v>
          </cell>
          <cell r="J3553">
            <v>17.46</v>
          </cell>
          <cell r="K3553">
            <v>17.087800000000001</v>
          </cell>
        </row>
        <row r="3554">
          <cell r="A3554">
            <v>34607</v>
          </cell>
          <cell r="J3554">
            <v>19.18</v>
          </cell>
          <cell r="K3554">
            <v>18.086200000000002</v>
          </cell>
        </row>
        <row r="3555">
          <cell r="A3555">
            <v>34610</v>
          </cell>
          <cell r="J3555">
            <v>18.260000000000002</v>
          </cell>
          <cell r="K3555">
            <v>18.141100000000002</v>
          </cell>
        </row>
        <row r="3556">
          <cell r="A3556">
            <v>34611</v>
          </cell>
          <cell r="J3556">
            <v>20.04</v>
          </cell>
          <cell r="K3556">
            <v>19.0654</v>
          </cell>
        </row>
        <row r="3557">
          <cell r="A3557">
            <v>34612</v>
          </cell>
          <cell r="J3557">
            <v>19.7</v>
          </cell>
          <cell r="K3557">
            <v>19.301400000000001</v>
          </cell>
        </row>
        <row r="3558">
          <cell r="A3558">
            <v>34613</v>
          </cell>
          <cell r="J3558">
            <v>21.29</v>
          </cell>
          <cell r="K3558">
            <v>20.221399999999999</v>
          </cell>
        </row>
        <row r="3559">
          <cell r="A3559">
            <v>34614</v>
          </cell>
          <cell r="J3559">
            <v>19.920000000000002</v>
          </cell>
          <cell r="K3559">
            <v>19.075199999999999</v>
          </cell>
        </row>
        <row r="3560">
          <cell r="A3560">
            <v>34617</v>
          </cell>
          <cell r="J3560">
            <v>18.899999999999999</v>
          </cell>
          <cell r="K3560">
            <v>18.065999999999999</v>
          </cell>
        </row>
        <row r="3561">
          <cell r="A3561">
            <v>34618</v>
          </cell>
          <cell r="J3561">
            <v>19.05</v>
          </cell>
          <cell r="K3561">
            <v>17.808299999999999</v>
          </cell>
        </row>
        <row r="3562">
          <cell r="A3562">
            <v>34619</v>
          </cell>
          <cell r="J3562">
            <v>18.670000000000002</v>
          </cell>
          <cell r="K3562">
            <v>17.876200000000001</v>
          </cell>
        </row>
        <row r="3563">
          <cell r="A3563">
            <v>34620</v>
          </cell>
          <cell r="J3563">
            <v>17.690000000000001</v>
          </cell>
          <cell r="K3563">
            <v>16.976199999999999</v>
          </cell>
        </row>
        <row r="3564">
          <cell r="A3564">
            <v>34621</v>
          </cell>
          <cell r="J3564">
            <v>18.46</v>
          </cell>
          <cell r="K3564">
            <v>16.8354</v>
          </cell>
        </row>
        <row r="3565">
          <cell r="A3565">
            <v>34624</v>
          </cell>
          <cell r="J3565">
            <v>17.489999999999998</v>
          </cell>
          <cell r="K3565">
            <v>17.352</v>
          </cell>
        </row>
        <row r="3566">
          <cell r="A3566">
            <v>34625</v>
          </cell>
          <cell r="J3566">
            <v>17.11</v>
          </cell>
          <cell r="K3566">
            <v>17.764399999999998</v>
          </cell>
        </row>
        <row r="3567">
          <cell r="A3567">
            <v>34626</v>
          </cell>
          <cell r="J3567">
            <v>16.52</v>
          </cell>
          <cell r="K3567">
            <v>18.139900000000001</v>
          </cell>
        </row>
        <row r="3568">
          <cell r="A3568">
            <v>34627</v>
          </cell>
          <cell r="J3568">
            <v>17.68</v>
          </cell>
          <cell r="K3568">
            <v>18.163399999999999</v>
          </cell>
        </row>
        <row r="3569">
          <cell r="A3569">
            <v>34628</v>
          </cell>
          <cell r="J3569">
            <v>17.09</v>
          </cell>
          <cell r="K3569">
            <v>17.496500000000001</v>
          </cell>
        </row>
        <row r="3570">
          <cell r="A3570">
            <v>34631</v>
          </cell>
          <cell r="J3570">
            <v>17.52</v>
          </cell>
          <cell r="K3570">
            <v>17.8291</v>
          </cell>
        </row>
        <row r="3571">
          <cell r="A3571">
            <v>34632</v>
          </cell>
          <cell r="J3571">
            <v>16.82</v>
          </cell>
          <cell r="K3571">
            <v>17.185700000000001</v>
          </cell>
        </row>
        <row r="3572">
          <cell r="A3572">
            <v>34633</v>
          </cell>
          <cell r="J3572">
            <v>16.73</v>
          </cell>
          <cell r="K3572">
            <v>17.841699999999999</v>
          </cell>
        </row>
        <row r="3573">
          <cell r="A3573">
            <v>34634</v>
          </cell>
          <cell r="J3573">
            <v>16.04</v>
          </cell>
          <cell r="K3573">
            <v>17.2606</v>
          </cell>
        </row>
        <row r="3574">
          <cell r="A3574">
            <v>34635</v>
          </cell>
          <cell r="J3574">
            <v>15.99</v>
          </cell>
          <cell r="K3574">
            <v>16.741499999999998</v>
          </cell>
        </row>
        <row r="3575">
          <cell r="A3575">
            <v>34638</v>
          </cell>
          <cell r="J3575">
            <v>16.53</v>
          </cell>
          <cell r="K3575">
            <v>16.517299999999999</v>
          </cell>
        </row>
        <row r="3576">
          <cell r="A3576">
            <v>34639</v>
          </cell>
          <cell r="J3576">
            <v>15.91</v>
          </cell>
          <cell r="K3576">
            <v>16.8871</v>
          </cell>
        </row>
        <row r="3577">
          <cell r="A3577">
            <v>34640</v>
          </cell>
          <cell r="J3577">
            <v>15.43</v>
          </cell>
          <cell r="K3577">
            <v>16.5167</v>
          </cell>
        </row>
        <row r="3578">
          <cell r="A3578">
            <v>34641</v>
          </cell>
          <cell r="J3578">
            <v>17.329999999999998</v>
          </cell>
          <cell r="K3578">
            <v>16.976400000000002</v>
          </cell>
        </row>
        <row r="3579">
          <cell r="A3579">
            <v>34642</v>
          </cell>
          <cell r="J3579">
            <v>16.53</v>
          </cell>
          <cell r="K3579">
            <v>17.364699999999999</v>
          </cell>
        </row>
        <row r="3580">
          <cell r="A3580">
            <v>34645</v>
          </cell>
          <cell r="J3580">
            <v>15.86</v>
          </cell>
          <cell r="K3580">
            <v>17.017399999999999</v>
          </cell>
        </row>
        <row r="3581">
          <cell r="A3581">
            <v>34646</v>
          </cell>
          <cell r="J3581">
            <v>16.14</v>
          </cell>
          <cell r="K3581">
            <v>17.024999999999999</v>
          </cell>
        </row>
        <row r="3582">
          <cell r="A3582">
            <v>34647</v>
          </cell>
          <cell r="J3582">
            <v>16.05</v>
          </cell>
          <cell r="K3582">
            <v>16.276199999999999</v>
          </cell>
        </row>
        <row r="3583">
          <cell r="A3583">
            <v>34648</v>
          </cell>
          <cell r="J3583">
            <v>15.77</v>
          </cell>
          <cell r="K3583">
            <v>15.823700000000001</v>
          </cell>
        </row>
        <row r="3584">
          <cell r="A3584">
            <v>34649</v>
          </cell>
          <cell r="J3584">
            <v>15.37</v>
          </cell>
          <cell r="K3584">
            <v>15.7653</v>
          </cell>
        </row>
        <row r="3585">
          <cell r="A3585">
            <v>34652</v>
          </cell>
          <cell r="J3585">
            <v>14.89</v>
          </cell>
          <cell r="K3585">
            <v>15.4968</v>
          </cell>
        </row>
        <row r="3586">
          <cell r="A3586">
            <v>34653</v>
          </cell>
          <cell r="J3586">
            <v>17.079999999999998</v>
          </cell>
          <cell r="K3586">
            <v>16.048100000000002</v>
          </cell>
        </row>
        <row r="3587">
          <cell r="A3587">
            <v>34654</v>
          </cell>
          <cell r="J3587">
            <v>16.68</v>
          </cell>
          <cell r="K3587">
            <v>15.5106</v>
          </cell>
        </row>
        <row r="3588">
          <cell r="A3588">
            <v>34655</v>
          </cell>
          <cell r="J3588">
            <v>16.489999999999998</v>
          </cell>
          <cell r="K3588">
            <v>15.414400000000001</v>
          </cell>
        </row>
        <row r="3589">
          <cell r="A3589">
            <v>34656</v>
          </cell>
          <cell r="J3589">
            <v>17.21</v>
          </cell>
          <cell r="K3589">
            <v>15.7493</v>
          </cell>
        </row>
        <row r="3590">
          <cell r="A3590">
            <v>34659</v>
          </cell>
          <cell r="J3590">
            <v>17.04</v>
          </cell>
          <cell r="K3590">
            <v>16.033100000000001</v>
          </cell>
        </row>
        <row r="3591">
          <cell r="A3591">
            <v>34660</v>
          </cell>
          <cell r="J3591">
            <v>16.64</v>
          </cell>
          <cell r="K3591">
            <v>15.732200000000001</v>
          </cell>
        </row>
        <row r="3592">
          <cell r="A3592">
            <v>34661</v>
          </cell>
          <cell r="J3592">
            <v>16.52</v>
          </cell>
          <cell r="K3592">
            <v>17.210999999999999</v>
          </cell>
        </row>
        <row r="3593">
          <cell r="A3593">
            <v>34662</v>
          </cell>
          <cell r="J3593">
            <v>17.47</v>
          </cell>
          <cell r="K3593">
            <v>18.9405</v>
          </cell>
        </row>
        <row r="3594">
          <cell r="A3594">
            <v>34663</v>
          </cell>
          <cell r="J3594">
            <v>18.190000000000001</v>
          </cell>
          <cell r="K3594">
            <v>18.216799999999999</v>
          </cell>
        </row>
        <row r="3595">
          <cell r="A3595">
            <v>34666</v>
          </cell>
          <cell r="J3595">
            <v>17.32</v>
          </cell>
          <cell r="K3595">
            <v>17.183599999999998</v>
          </cell>
        </row>
        <row r="3596">
          <cell r="A3596">
            <v>34667</v>
          </cell>
          <cell r="J3596">
            <v>16.59</v>
          </cell>
          <cell r="K3596">
            <v>16.398</v>
          </cell>
        </row>
        <row r="3597">
          <cell r="A3597">
            <v>34668</v>
          </cell>
          <cell r="J3597">
            <v>16.38</v>
          </cell>
          <cell r="K3597">
            <v>15.779500000000001</v>
          </cell>
        </row>
        <row r="3598">
          <cell r="A3598">
            <v>34669</v>
          </cell>
          <cell r="J3598">
            <v>16.41</v>
          </cell>
          <cell r="K3598">
            <v>16.058800000000002</v>
          </cell>
        </row>
        <row r="3599">
          <cell r="A3599">
            <v>34670</v>
          </cell>
          <cell r="J3599">
            <v>16.440000000000001</v>
          </cell>
          <cell r="K3599">
            <v>16.711099999999998</v>
          </cell>
        </row>
        <row r="3600">
          <cell r="A3600">
            <v>34673</v>
          </cell>
          <cell r="J3600">
            <v>15.8</v>
          </cell>
          <cell r="K3600">
            <v>16.2485</v>
          </cell>
        </row>
        <row r="3601">
          <cell r="A3601">
            <v>34674</v>
          </cell>
          <cell r="J3601">
            <v>15.46</v>
          </cell>
          <cell r="K3601">
            <v>16.127400000000002</v>
          </cell>
        </row>
        <row r="3602">
          <cell r="A3602">
            <v>34675</v>
          </cell>
          <cell r="J3602">
            <v>15.12</v>
          </cell>
          <cell r="K3602">
            <v>16.033899999999999</v>
          </cell>
        </row>
        <row r="3603">
          <cell r="A3603">
            <v>34676</v>
          </cell>
          <cell r="J3603">
            <v>14.73</v>
          </cell>
          <cell r="K3603">
            <v>15.5586</v>
          </cell>
        </row>
        <row r="3604">
          <cell r="A3604">
            <v>34677</v>
          </cell>
          <cell r="J3604">
            <v>16.22</v>
          </cell>
          <cell r="K3604">
            <v>16.544599999999999</v>
          </cell>
        </row>
        <row r="3605">
          <cell r="A3605">
            <v>34680</v>
          </cell>
          <cell r="J3605">
            <v>16.39</v>
          </cell>
          <cell r="K3605">
            <v>17.053699999999999</v>
          </cell>
        </row>
        <row r="3606">
          <cell r="A3606">
            <v>34681</v>
          </cell>
          <cell r="J3606">
            <v>16.920000000000002</v>
          </cell>
          <cell r="K3606">
            <v>17.163799999999998</v>
          </cell>
        </row>
        <row r="3607">
          <cell r="A3607">
            <v>34682</v>
          </cell>
          <cell r="J3607">
            <v>16.57</v>
          </cell>
          <cell r="K3607">
            <v>16.634599999999999</v>
          </cell>
        </row>
        <row r="3608">
          <cell r="A3608">
            <v>34683</v>
          </cell>
          <cell r="J3608">
            <v>16.03</v>
          </cell>
          <cell r="K3608">
            <v>16.027000000000001</v>
          </cell>
        </row>
        <row r="3609">
          <cell r="A3609">
            <v>34684</v>
          </cell>
          <cell r="J3609">
            <v>15.77</v>
          </cell>
          <cell r="K3609">
            <v>15.723699999999999</v>
          </cell>
        </row>
        <row r="3610">
          <cell r="A3610">
            <v>34687</v>
          </cell>
          <cell r="J3610">
            <v>15.43</v>
          </cell>
          <cell r="K3610">
            <v>15.3163</v>
          </cell>
        </row>
        <row r="3611">
          <cell r="A3611">
            <v>34688</v>
          </cell>
          <cell r="J3611">
            <v>15.13</v>
          </cell>
          <cell r="K3611">
            <v>14.864699999999999</v>
          </cell>
        </row>
        <row r="3612">
          <cell r="A3612">
            <v>34689</v>
          </cell>
          <cell r="J3612">
            <v>14.87</v>
          </cell>
          <cell r="K3612">
            <v>14.490399999999999</v>
          </cell>
        </row>
        <row r="3613">
          <cell r="A3613">
            <v>34690</v>
          </cell>
          <cell r="J3613">
            <v>14.68</v>
          </cell>
          <cell r="K3613">
            <v>14.0162</v>
          </cell>
        </row>
        <row r="3614">
          <cell r="A3614">
            <v>34691</v>
          </cell>
          <cell r="J3614">
            <v>14.51</v>
          </cell>
          <cell r="K3614">
            <v>14.0297</v>
          </cell>
        </row>
        <row r="3615">
          <cell r="A3615">
            <v>34694</v>
          </cell>
          <cell r="J3615">
            <v>14.2</v>
          </cell>
          <cell r="K3615">
            <v>13.8649</v>
          </cell>
        </row>
        <row r="3616">
          <cell r="A3616">
            <v>34695</v>
          </cell>
          <cell r="J3616">
            <v>14.12</v>
          </cell>
          <cell r="K3616">
            <v>13.5985</v>
          </cell>
        </row>
        <row r="3617">
          <cell r="A3617">
            <v>34696</v>
          </cell>
          <cell r="J3617">
            <v>14.33</v>
          </cell>
          <cell r="K3617">
            <v>13.8081</v>
          </cell>
        </row>
        <row r="3618">
          <cell r="A3618">
            <v>34697</v>
          </cell>
          <cell r="J3618">
            <v>16.14</v>
          </cell>
          <cell r="K3618">
            <v>14.642099999999999</v>
          </cell>
        </row>
        <row r="3619">
          <cell r="A3619">
            <v>34698</v>
          </cell>
          <cell r="J3619">
            <v>15.6</v>
          </cell>
          <cell r="K3619">
            <v>14.2423</v>
          </cell>
        </row>
        <row r="3620">
          <cell r="A3620">
            <v>34701</v>
          </cell>
          <cell r="J3620">
            <v>15.29</v>
          </cell>
          <cell r="K3620">
            <v>14.039199999999999</v>
          </cell>
        </row>
        <row r="3621">
          <cell r="A3621">
            <v>34702</v>
          </cell>
          <cell r="J3621">
            <v>14.91</v>
          </cell>
          <cell r="K3621">
            <v>13.8827</v>
          </cell>
        </row>
        <row r="3622">
          <cell r="A3622">
            <v>34703</v>
          </cell>
          <cell r="J3622">
            <v>14.74</v>
          </cell>
          <cell r="K3622">
            <v>14.242100000000001</v>
          </cell>
        </row>
        <row r="3623">
          <cell r="A3623">
            <v>34704</v>
          </cell>
          <cell r="J3623">
            <v>14.38</v>
          </cell>
          <cell r="K3623">
            <v>14.114000000000001</v>
          </cell>
        </row>
        <row r="3624">
          <cell r="A3624">
            <v>34705</v>
          </cell>
          <cell r="J3624">
            <v>15.84</v>
          </cell>
          <cell r="K3624">
            <v>14.865600000000001</v>
          </cell>
        </row>
        <row r="3625">
          <cell r="A3625">
            <v>34708</v>
          </cell>
          <cell r="J3625">
            <v>15.28</v>
          </cell>
          <cell r="K3625">
            <v>14.984</v>
          </cell>
        </row>
        <row r="3626">
          <cell r="A3626">
            <v>34709</v>
          </cell>
          <cell r="J3626">
            <v>16.309999999999999</v>
          </cell>
          <cell r="K3626">
            <v>15.466200000000001</v>
          </cell>
        </row>
        <row r="3627">
          <cell r="A3627">
            <v>34710</v>
          </cell>
          <cell r="J3627">
            <v>16.03</v>
          </cell>
          <cell r="K3627">
            <v>14.8766</v>
          </cell>
        </row>
        <row r="3628">
          <cell r="A3628">
            <v>34711</v>
          </cell>
          <cell r="J3628">
            <v>16.059999999999999</v>
          </cell>
          <cell r="K3628">
            <v>14.9329</v>
          </cell>
        </row>
        <row r="3629">
          <cell r="A3629">
            <v>34712</v>
          </cell>
          <cell r="J3629">
            <v>15.49</v>
          </cell>
          <cell r="K3629">
            <v>14.5398</v>
          </cell>
        </row>
        <row r="3630">
          <cell r="A3630">
            <v>34715</v>
          </cell>
          <cell r="J3630">
            <v>14.99</v>
          </cell>
          <cell r="K3630">
            <v>14.373799999999999</v>
          </cell>
        </row>
        <row r="3631">
          <cell r="A3631">
            <v>34716</v>
          </cell>
          <cell r="J3631">
            <v>15.37</v>
          </cell>
          <cell r="K3631">
            <v>14.405200000000001</v>
          </cell>
        </row>
        <row r="3632">
          <cell r="A3632">
            <v>34717</v>
          </cell>
          <cell r="J3632">
            <v>16.25</v>
          </cell>
          <cell r="K3632">
            <v>15.240500000000001</v>
          </cell>
        </row>
        <row r="3633">
          <cell r="A3633">
            <v>34718</v>
          </cell>
          <cell r="J3633">
            <v>15.62</v>
          </cell>
          <cell r="K3633">
            <v>14.732200000000001</v>
          </cell>
        </row>
        <row r="3634">
          <cell r="A3634">
            <v>34719</v>
          </cell>
          <cell r="J3634">
            <v>17.07</v>
          </cell>
          <cell r="K3634">
            <v>15.894</v>
          </cell>
        </row>
        <row r="3635">
          <cell r="A3635">
            <v>34722</v>
          </cell>
          <cell r="J3635">
            <v>16.34</v>
          </cell>
          <cell r="K3635">
            <v>15.280799999999999</v>
          </cell>
        </row>
        <row r="3636">
          <cell r="A3636">
            <v>34723</v>
          </cell>
          <cell r="J3636">
            <v>21.2</v>
          </cell>
          <cell r="K3636">
            <v>18.048200000000001</v>
          </cell>
        </row>
        <row r="3637">
          <cell r="A3637">
            <v>34724</v>
          </cell>
          <cell r="J3637">
            <v>19.84</v>
          </cell>
          <cell r="K3637">
            <v>17.183599999999998</v>
          </cell>
        </row>
        <row r="3638">
          <cell r="A3638">
            <v>34725</v>
          </cell>
          <cell r="J3638">
            <v>18.82</v>
          </cell>
          <cell r="K3638">
            <v>16.646599999999999</v>
          </cell>
        </row>
        <row r="3639">
          <cell r="A3639">
            <v>34726</v>
          </cell>
          <cell r="J3639">
            <v>18.91</v>
          </cell>
          <cell r="K3639">
            <v>16.349499999999999</v>
          </cell>
        </row>
        <row r="3640">
          <cell r="A3640">
            <v>34729</v>
          </cell>
          <cell r="J3640">
            <v>18.46</v>
          </cell>
          <cell r="K3640">
            <v>15.7963</v>
          </cell>
        </row>
        <row r="3641">
          <cell r="A3641">
            <v>34730</v>
          </cell>
          <cell r="J3641">
            <v>17.489999999999998</v>
          </cell>
          <cell r="K3641">
            <v>15.500999999999999</v>
          </cell>
        </row>
        <row r="3642">
          <cell r="A3642">
            <v>34731</v>
          </cell>
          <cell r="J3642">
            <v>18.29</v>
          </cell>
          <cell r="K3642">
            <v>16.2928</v>
          </cell>
        </row>
        <row r="3643">
          <cell r="A3643">
            <v>34732</v>
          </cell>
          <cell r="J3643">
            <v>18.07</v>
          </cell>
          <cell r="K3643">
            <v>15.651899999999999</v>
          </cell>
        </row>
        <row r="3644">
          <cell r="A3644">
            <v>34733</v>
          </cell>
          <cell r="J3644">
            <v>17.489999999999998</v>
          </cell>
          <cell r="K3644">
            <v>15.184699999999999</v>
          </cell>
        </row>
        <row r="3645">
          <cell r="A3645">
            <v>34736</v>
          </cell>
          <cell r="J3645">
            <v>16.8</v>
          </cell>
          <cell r="K3645">
            <v>14.5929</v>
          </cell>
        </row>
        <row r="3646">
          <cell r="A3646">
            <v>34737</v>
          </cell>
          <cell r="J3646">
            <v>17.02</v>
          </cell>
          <cell r="K3646">
            <v>14.3925</v>
          </cell>
        </row>
        <row r="3647">
          <cell r="A3647">
            <v>34738</v>
          </cell>
          <cell r="J3647">
            <v>16.45</v>
          </cell>
          <cell r="K3647">
            <v>14.2357</v>
          </cell>
        </row>
        <row r="3648">
          <cell r="A3648">
            <v>34739</v>
          </cell>
          <cell r="J3648">
            <v>16.47</v>
          </cell>
          <cell r="K3648">
            <v>14.2828</v>
          </cell>
        </row>
        <row r="3649">
          <cell r="A3649">
            <v>34740</v>
          </cell>
          <cell r="J3649">
            <v>16.89</v>
          </cell>
          <cell r="K3649">
            <v>14.1714</v>
          </cell>
        </row>
        <row r="3650">
          <cell r="A3650">
            <v>34743</v>
          </cell>
          <cell r="J3650">
            <v>16.16</v>
          </cell>
          <cell r="K3650">
            <v>14.071</v>
          </cell>
        </row>
        <row r="3651">
          <cell r="A3651">
            <v>34744</v>
          </cell>
          <cell r="J3651">
            <v>16.3</v>
          </cell>
          <cell r="K3651">
            <v>14.4725</v>
          </cell>
        </row>
        <row r="3652">
          <cell r="A3652">
            <v>34745</v>
          </cell>
          <cell r="J3652">
            <v>15.69</v>
          </cell>
          <cell r="K3652">
            <v>14.210800000000001</v>
          </cell>
        </row>
        <row r="3653">
          <cell r="A3653">
            <v>34746</v>
          </cell>
          <cell r="J3653">
            <v>15.18</v>
          </cell>
          <cell r="K3653">
            <v>13.831899999999999</v>
          </cell>
        </row>
        <row r="3654">
          <cell r="A3654">
            <v>34747</v>
          </cell>
          <cell r="J3654">
            <v>15.22</v>
          </cell>
          <cell r="K3654">
            <v>14.2888</v>
          </cell>
        </row>
        <row r="3655">
          <cell r="A3655">
            <v>34750</v>
          </cell>
          <cell r="J3655">
            <v>15.6</v>
          </cell>
          <cell r="K3655">
            <v>14.551</v>
          </cell>
        </row>
        <row r="3656">
          <cell r="A3656">
            <v>34751</v>
          </cell>
          <cell r="J3656">
            <v>15.2</v>
          </cell>
          <cell r="K3656">
            <v>14.483599999999999</v>
          </cell>
        </row>
        <row r="3657">
          <cell r="A3657">
            <v>34752</v>
          </cell>
          <cell r="J3657">
            <v>15.23</v>
          </cell>
          <cell r="K3657">
            <v>14.59</v>
          </cell>
        </row>
        <row r="3658">
          <cell r="A3658">
            <v>34753</v>
          </cell>
          <cell r="J3658">
            <v>14.77</v>
          </cell>
          <cell r="K3658">
            <v>14.096</v>
          </cell>
        </row>
        <row r="3659">
          <cell r="A3659">
            <v>34754</v>
          </cell>
          <cell r="J3659">
            <v>14.92</v>
          </cell>
          <cell r="K3659">
            <v>13.9236</v>
          </cell>
        </row>
        <row r="3660">
          <cell r="A3660">
            <v>34757</v>
          </cell>
          <cell r="J3660">
            <v>17.920000000000002</v>
          </cell>
          <cell r="K3660">
            <v>15.697100000000001</v>
          </cell>
        </row>
        <row r="3661">
          <cell r="A3661">
            <v>34758</v>
          </cell>
          <cell r="J3661">
            <v>17.09</v>
          </cell>
          <cell r="K3661">
            <v>15.1594</v>
          </cell>
        </row>
        <row r="3662">
          <cell r="A3662">
            <v>34759</v>
          </cell>
          <cell r="J3662">
            <v>18.54</v>
          </cell>
          <cell r="K3662">
            <v>16.091100000000001</v>
          </cell>
        </row>
        <row r="3663">
          <cell r="A3663">
            <v>34760</v>
          </cell>
          <cell r="J3663">
            <v>19.22</v>
          </cell>
          <cell r="K3663">
            <v>15.955</v>
          </cell>
        </row>
        <row r="3664">
          <cell r="A3664">
            <v>34761</v>
          </cell>
          <cell r="J3664">
            <v>18.14</v>
          </cell>
          <cell r="K3664">
            <v>15.3065</v>
          </cell>
        </row>
        <row r="3665">
          <cell r="A3665">
            <v>34764</v>
          </cell>
          <cell r="J3665">
            <v>17.670000000000002</v>
          </cell>
          <cell r="K3665">
            <v>15.3003</v>
          </cell>
        </row>
        <row r="3666">
          <cell r="A3666">
            <v>34765</v>
          </cell>
          <cell r="J3666">
            <v>16.82</v>
          </cell>
          <cell r="K3666">
            <v>14.861800000000001</v>
          </cell>
        </row>
        <row r="3667">
          <cell r="A3667">
            <v>34766</v>
          </cell>
          <cell r="J3667">
            <v>17.89</v>
          </cell>
          <cell r="K3667">
            <v>16.932099999999998</v>
          </cell>
        </row>
        <row r="3668">
          <cell r="A3668">
            <v>34767</v>
          </cell>
          <cell r="J3668">
            <v>17.57</v>
          </cell>
          <cell r="K3668">
            <v>17.708300000000001</v>
          </cell>
        </row>
        <row r="3669">
          <cell r="A3669">
            <v>34768</v>
          </cell>
          <cell r="J3669">
            <v>20.47</v>
          </cell>
          <cell r="K3669">
            <v>18.776599999999998</v>
          </cell>
        </row>
        <row r="3670">
          <cell r="A3670">
            <v>34771</v>
          </cell>
          <cell r="J3670">
            <v>19.93</v>
          </cell>
          <cell r="K3670">
            <v>20.6937</v>
          </cell>
        </row>
        <row r="3671">
          <cell r="A3671">
            <v>34772</v>
          </cell>
          <cell r="J3671">
            <v>19.48</v>
          </cell>
          <cell r="K3671">
            <v>20.602399999999999</v>
          </cell>
        </row>
        <row r="3672">
          <cell r="A3672">
            <v>34773</v>
          </cell>
          <cell r="J3672">
            <v>21.13</v>
          </cell>
          <cell r="K3672">
            <v>21.783100000000001</v>
          </cell>
        </row>
        <row r="3673">
          <cell r="A3673">
            <v>34774</v>
          </cell>
          <cell r="J3673">
            <v>19.77</v>
          </cell>
          <cell r="K3673">
            <v>21.461300000000001</v>
          </cell>
        </row>
        <row r="3674">
          <cell r="A3674">
            <v>34775</v>
          </cell>
          <cell r="J3674">
            <v>21.12</v>
          </cell>
          <cell r="K3674">
            <v>21.262699999999999</v>
          </cell>
        </row>
        <row r="3675">
          <cell r="A3675">
            <v>34778</v>
          </cell>
          <cell r="J3675">
            <v>19.77</v>
          </cell>
          <cell r="K3675">
            <v>20.021899999999999</v>
          </cell>
        </row>
        <row r="3676">
          <cell r="A3676">
            <v>34779</v>
          </cell>
          <cell r="J3676">
            <v>18.72</v>
          </cell>
          <cell r="K3676">
            <v>19.816199999999998</v>
          </cell>
        </row>
        <row r="3677">
          <cell r="A3677">
            <v>34780</v>
          </cell>
          <cell r="J3677">
            <v>17.88</v>
          </cell>
          <cell r="K3677">
            <v>19.596499999999999</v>
          </cell>
        </row>
        <row r="3678">
          <cell r="A3678">
            <v>34781</v>
          </cell>
          <cell r="J3678">
            <v>17.04</v>
          </cell>
          <cell r="K3678">
            <v>18.5488</v>
          </cell>
        </row>
        <row r="3679">
          <cell r="A3679">
            <v>34782</v>
          </cell>
          <cell r="J3679">
            <v>17.16</v>
          </cell>
          <cell r="K3679">
            <v>18.087499999999999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a"/>
      <sheetName val="2.1b"/>
      <sheetName val="2.1c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7-302-2_and_t7-302-3"/>
      <sheetName val="302.1"/>
      <sheetName val="7a.2 LVaR_v2 (deviate)"/>
      <sheetName val="7a.2 LVaR_v2 (Dowd)"/>
      <sheetName val="Sheet2"/>
      <sheetName val="Sheet3"/>
    </sheetNames>
    <sheetDataSet>
      <sheetData sheetId="0"/>
      <sheetData sheetId="1"/>
      <sheetData sheetId="2">
        <row r="5">
          <cell r="D5">
            <v>10000000</v>
          </cell>
          <cell r="E5">
            <v>5000</v>
          </cell>
          <cell r="F5">
            <v>72000</v>
          </cell>
          <cell r="G5">
            <v>4400000</v>
          </cell>
          <cell r="H5">
            <v>9600000</v>
          </cell>
        </row>
        <row r="6">
          <cell r="D6">
            <v>0.01</v>
          </cell>
          <cell r="E6">
            <v>0.02</v>
          </cell>
          <cell r="F6">
            <v>1.24E-2</v>
          </cell>
          <cell r="G6">
            <v>8.0000000000000002E-3</v>
          </cell>
          <cell r="H6">
            <v>2.6563132345414384E-2</v>
          </cell>
        </row>
        <row r="7">
          <cell r="D7">
            <v>0</v>
          </cell>
          <cell r="E7">
            <v>0.01</v>
          </cell>
          <cell r="H7">
            <v>0</v>
          </cell>
        </row>
        <row r="9">
          <cell r="D9">
            <v>1.6448536269514715</v>
          </cell>
          <cell r="E9">
            <v>2.3263478740408408</v>
          </cell>
          <cell r="F9">
            <v>1.6448536269514715</v>
          </cell>
          <cell r="G9">
            <v>1.6448536269514715</v>
          </cell>
          <cell r="H9">
            <v>2.3263478740408408</v>
          </cell>
        </row>
        <row r="18">
          <cell r="D18">
            <v>1E-3</v>
          </cell>
          <cell r="E18">
            <v>5.0000000000000001E-3</v>
          </cell>
          <cell r="F18">
            <v>2.2222222222222222E-3</v>
          </cell>
          <cell r="G18">
            <v>2.5000000000000001E-3</v>
          </cell>
          <cell r="H18">
            <v>0.02</v>
          </cell>
        </row>
        <row r="19">
          <cell r="D19">
            <v>8.0000000000000002E-3</v>
          </cell>
          <cell r="E19">
            <v>0.01</v>
          </cell>
          <cell r="F19">
            <v>8.0000000000000002E-3</v>
          </cell>
          <cell r="G19">
            <v>8.0000000000000002E-3</v>
          </cell>
          <cell r="H19">
            <v>0.01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T (2)"/>
      <sheetName val="EVT"/>
      <sheetName val="Sheet1"/>
    </sheetNames>
    <sheetDataSet>
      <sheetData sheetId="0">
        <row r="19">
          <cell r="J19" t="str">
            <v>pdf</v>
          </cell>
        </row>
      </sheetData>
      <sheetData sheetId="1">
        <row r="10">
          <cell r="I10">
            <v>1</v>
          </cell>
        </row>
        <row r="12">
          <cell r="I12">
            <v>0.2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T (2)"/>
      <sheetName val="EVT"/>
      <sheetName val="Sheet1"/>
    </sheetNames>
    <sheetDataSet>
      <sheetData sheetId="0">
        <row r="19">
          <cell r="J19" t="str">
            <v>pdf</v>
          </cell>
        </row>
      </sheetData>
      <sheetData sheetId="1">
        <row r="10">
          <cell r="I10">
            <v>1</v>
          </cell>
        </row>
        <row r="12">
          <cell r="I12">
            <v>0.2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T (2)"/>
      <sheetName val="EVT"/>
      <sheetName val="Sheet1"/>
    </sheetNames>
    <sheetDataSet>
      <sheetData sheetId="0"/>
      <sheetData sheetId="1">
        <row r="10">
          <cell r="I10">
            <v>1</v>
          </cell>
        </row>
        <row r="12">
          <cell r="I12">
            <v>0.2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D (2)"/>
      <sheetName val="Fig_I.3.20 (2)"/>
      <sheetName val="ExtremeValueTheoryDistributions"/>
      <sheetName val="Fig_I.3.20"/>
      <sheetName val="GP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0.8</v>
          </cell>
        </row>
        <row r="3">
          <cell r="D3">
            <v>0.15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D (2)"/>
      <sheetName val="Fig_I.3.20 (2)"/>
      <sheetName val="ExtremeValueTheoryDistributions"/>
      <sheetName val="Fig_I.3.20"/>
      <sheetName val="GPD"/>
    </sheetNames>
    <sheetDataSet>
      <sheetData sheetId="0"/>
      <sheetData sheetId="1"/>
      <sheetData sheetId="2"/>
      <sheetData sheetId="3"/>
      <sheetData sheetId="4">
        <row r="2">
          <cell r="D2">
            <v>0.8</v>
          </cell>
        </row>
        <row r="3">
          <cell r="D3">
            <v>0.15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D (2)"/>
      <sheetName val="Fig_I.3.20 (2)"/>
      <sheetName val="ExtremeValueTheoryDistributions"/>
      <sheetName val="Fig_I.3.20"/>
      <sheetName val="GPD"/>
    </sheetNames>
    <sheetDataSet>
      <sheetData sheetId="0"/>
      <sheetData sheetId="1"/>
      <sheetData sheetId="2"/>
      <sheetData sheetId="3"/>
      <sheetData sheetId="4">
        <row r="2">
          <cell r="D2">
            <v>0.8</v>
          </cell>
        </row>
        <row r="3">
          <cell r="D3">
            <v>0.15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S Tests"/>
      <sheetName val="T6_4"/>
    </sheetNames>
    <sheetDataSet>
      <sheetData sheetId="0">
        <row r="3">
          <cell r="G3">
            <v>10</v>
          </cell>
        </row>
        <row r="5">
          <cell r="G5">
            <v>7.6181818181818173</v>
          </cell>
        </row>
        <row r="6">
          <cell r="G6">
            <v>8.145454545454546E-2</v>
          </cell>
        </row>
        <row r="15">
          <cell r="B15">
            <v>262.5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0-SW-data-raw"/>
      <sheetName val="0-SW-data-pre-process"/>
      <sheetName val="table 4.1 &amp; fig 4.3"/>
      <sheetName val="Ch 4 SRF samples"/>
      <sheetName val="Sec 4.3 measures of fit"/>
      <sheetName val="normal_"/>
      <sheetName val="Ch 5 summary"/>
      <sheetName val="Ch 6"/>
      <sheetName val="Ch 7"/>
      <sheetName val="ARCH"/>
      <sheetName val="CPS08 (S&amp;W data) PQ P1.T2.321.1"/>
      <sheetName val="Growth (S&amp;W) PQ P1.T2.321.3"/>
      <sheetName val="2011 Gujarati_Univariate_Lotto"/>
      <sheetName val="2011 Gujarati OLS Tests"/>
      <sheetName val="2011 Gujarati OLS Table 6-4"/>
      <sheetName val="2b.2. EltonMultiRegression"/>
      <sheetName val="2b.2. EltonMulti (source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G3">
            <v>10</v>
          </cell>
        </row>
        <row r="5">
          <cell r="G5">
            <v>7.6181818181818173</v>
          </cell>
        </row>
        <row r="6">
          <cell r="G6">
            <v>8.145454545454546E-2</v>
          </cell>
        </row>
        <row r="15">
          <cell r="B15">
            <v>262.5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longtermOptions (3)"/>
      <sheetName val="NewlongtermOptions (2)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2c.2 MCS (GBM)"/>
      <sheetName val="2c.2 MCS (Straddle)"/>
      <sheetName val="2c.2 MCS (inverse transform)"/>
      <sheetName val="2c.2. MCS (bootstrap)"/>
      <sheetName val="2c.3 correlated_normals"/>
      <sheetName val="2c.3 Cholesky Decompose"/>
      <sheetName val="2c.1 Rachev (normal versus)"/>
      <sheetName val="2c.1 Rachev (exponential)"/>
      <sheetName val="2c.1 Rachev (weibull)"/>
      <sheetName val="2c.1. Rachev (gamma)"/>
      <sheetName val="2c.1. Rachev (beta)"/>
      <sheetName val="2c.1. Rachev (lognormal)"/>
      <sheetName val="2c.1. Rachev (logistic)"/>
      <sheetName val="2c.1. Rachev (EVT)"/>
      <sheetName val="2c.1 Rachev Poisson_Exponential"/>
      <sheetName val="2c.1 Rachev (NormalMixture)"/>
      <sheetName val="Sheet1"/>
    </sheetNames>
    <sheetDataSet>
      <sheetData sheetId="0"/>
      <sheetData sheetId="1">
        <row r="4">
          <cell r="E4">
            <v>0.12</v>
          </cell>
        </row>
        <row r="5">
          <cell r="E5">
            <v>0.3</v>
          </cell>
        </row>
        <row r="7">
          <cell r="E7">
            <v>3.968253968253968E-3</v>
          </cell>
        </row>
      </sheetData>
      <sheetData sheetId="2"/>
      <sheetData sheetId="3"/>
      <sheetData sheetId="4"/>
      <sheetData sheetId="5">
        <row r="3">
          <cell r="D3">
            <v>0.75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S_GBM"/>
      <sheetName val="MCS_Straddle"/>
      <sheetName val="Jorion 12.2.2_inverse_t"/>
      <sheetName val="Jorion 12.2.3_bootstrap"/>
    </sheetNames>
    <sheetDataSet>
      <sheetData sheetId="0">
        <row r="4">
          <cell r="E4">
            <v>0.12</v>
          </cell>
        </row>
        <row r="5">
          <cell r="E5">
            <v>0.3</v>
          </cell>
        </row>
        <row r="7">
          <cell r="E7">
            <v>3.968253968253968E-3</v>
          </cell>
        </row>
      </sheetData>
      <sheetData sheetId="1">
        <row r="13">
          <cell r="E13">
            <v>-1.0065316585792488</v>
          </cell>
        </row>
      </sheetData>
      <sheetData sheetId="2">
        <row r="8">
          <cell r="B8">
            <v>1.0000000000000001E-5</v>
          </cell>
        </row>
      </sheetData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kew_cokurt_version1"/>
      <sheetName val="Sheet6"/>
      <sheetName val="coskew_cokurt"/>
      <sheetName val="Coskewness_corrected"/>
      <sheetName val="Coskewness_original"/>
      <sheetName val="Sheet5"/>
      <sheetName val="Coskewness"/>
      <sheetName val="Sheet2"/>
      <sheetName val="Sheet3"/>
      <sheetName val="Sheet1"/>
      <sheetName val="318.3"/>
      <sheetName val="318.2"/>
    </sheetNames>
    <sheetDataSet>
      <sheetData sheetId="0">
        <row r="4">
          <cell r="E4">
            <v>0.3</v>
          </cell>
        </row>
        <row r="5">
          <cell r="E5">
            <v>0.5</v>
          </cell>
        </row>
        <row r="6">
          <cell r="E6">
            <v>0.19999999999999996</v>
          </cell>
        </row>
        <row r="8">
          <cell r="F8">
            <v>4.9000000000000004</v>
          </cell>
          <cell r="G8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 dist"/>
      <sheetName val="chi-square"/>
      <sheetName val="Chart2"/>
      <sheetName val="tinv"/>
      <sheetName val="Poisson"/>
      <sheetName val="normal_vs_bi_vsPoisson"/>
      <sheetName val="Lognormal (2)"/>
      <sheetName val="Sheet3"/>
      <sheetName val="Chart3"/>
      <sheetName val="Chart5"/>
      <sheetName val="Binomial"/>
      <sheetName val="Chart6"/>
      <sheetName val="Poisson (2)"/>
      <sheetName val="Chart7"/>
      <sheetName val="Lognormal"/>
      <sheetName val="Chart8"/>
      <sheetName val="Chart9"/>
      <sheetName val="Normal"/>
      <sheetName val="DataPrimary"/>
      <sheetName val="Chart10"/>
      <sheetName val="Chart11"/>
      <sheetName val="Chart12"/>
      <sheetName val="Chart13"/>
      <sheetName val="Chart14"/>
      <sheetName val="Chart15"/>
      <sheetName val="DataSecondary"/>
      <sheetName val="Chart16"/>
      <sheetName val="Chart17"/>
      <sheetName val="Shee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>
        <row r="3">
          <cell r="D3">
            <v>10</v>
          </cell>
        </row>
        <row r="4">
          <cell r="D4">
            <v>0.5</v>
          </cell>
        </row>
        <row r="5">
          <cell r="D5">
            <v>0.6</v>
          </cell>
        </row>
        <row r="6">
          <cell r="D6">
            <v>0.7</v>
          </cell>
        </row>
      </sheetData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a"/>
      <sheetName val="6.11b"/>
      <sheetName val="6.12"/>
      <sheetName val="6.13"/>
      <sheetName val="6.14"/>
    </sheetNames>
    <sheetDataSet>
      <sheetData sheetId="0" refreshError="1">
        <row r="1">
          <cell r="A1" t="str">
            <v xml:space="preserve">Date    </v>
          </cell>
          <cell r="C1" t="str">
            <v>1 mth</v>
          </cell>
          <cell r="D1" t="str">
            <v>3 mth</v>
          </cell>
          <cell r="E1" t="str">
            <v>6 mth</v>
          </cell>
          <cell r="F1" t="str">
            <v>9 mth</v>
          </cell>
          <cell r="G1" t="str">
            <v>12 mth</v>
          </cell>
          <cell r="H1" t="str">
            <v>18 mth</v>
          </cell>
          <cell r="I1" t="str">
            <v>2 yr</v>
          </cell>
          <cell r="J1" t="str">
            <v>3 yr</v>
          </cell>
          <cell r="K1" t="str">
            <v>4 yr</v>
          </cell>
          <cell r="L1" t="str">
            <v>5 yr</v>
          </cell>
          <cell r="M1" t="str">
            <v>7 yr</v>
          </cell>
          <cell r="N1" t="str">
            <v>10 yr</v>
          </cell>
          <cell r="O1" t="str">
            <v>15 yr</v>
          </cell>
          <cell r="P1" t="str">
            <v>20 yr</v>
          </cell>
          <cell r="Q1" t="str">
            <v>LONG</v>
          </cell>
        </row>
        <row r="2">
          <cell r="A2" t="str">
            <v xml:space="preserve"> 1/31/44</v>
          </cell>
          <cell r="C2">
            <v>0.34</v>
          </cell>
          <cell r="D2">
            <v>0.51</v>
          </cell>
          <cell r="E2">
            <v>0.7</v>
          </cell>
          <cell r="F2">
            <v>0.79</v>
          </cell>
          <cell r="G2">
            <v>0.84</v>
          </cell>
          <cell r="H2">
            <v>0.9</v>
          </cell>
          <cell r="I2">
            <v>0.93</v>
          </cell>
          <cell r="J2">
            <v>1.24</v>
          </cell>
          <cell r="K2">
            <v>1.4</v>
          </cell>
          <cell r="L2">
            <v>1.65</v>
          </cell>
          <cell r="M2">
            <v>1.93</v>
          </cell>
          <cell r="N2">
            <v>2.16</v>
          </cell>
          <cell r="O2">
            <v>2.33</v>
          </cell>
          <cell r="P2">
            <v>2.48</v>
          </cell>
          <cell r="Q2">
            <v>2.56</v>
          </cell>
        </row>
        <row r="3">
          <cell r="A3" t="str">
            <v xml:space="preserve"> 2/29/44</v>
          </cell>
          <cell r="C3">
            <v>0.28999999999999998</v>
          </cell>
          <cell r="D3">
            <v>0.36</v>
          </cell>
          <cell r="E3">
            <v>0.73</v>
          </cell>
          <cell r="F3">
            <v>0.79</v>
          </cell>
          <cell r="G3">
            <v>0.82</v>
          </cell>
          <cell r="H3">
            <v>0.9</v>
          </cell>
          <cell r="I3">
            <v>0.94</v>
          </cell>
          <cell r="J3">
            <v>1.25</v>
          </cell>
          <cell r="K3">
            <v>1.41</v>
          </cell>
          <cell r="L3">
            <v>1.64</v>
          </cell>
          <cell r="M3">
            <v>1.9</v>
          </cell>
          <cell r="N3">
            <v>2.12</v>
          </cell>
          <cell r="O3">
            <v>2.2999999999999998</v>
          </cell>
          <cell r="P3">
            <v>2.4700000000000002</v>
          </cell>
          <cell r="Q3">
            <v>2.56</v>
          </cell>
        </row>
        <row r="4">
          <cell r="A4" t="str">
            <v xml:space="preserve"> 3/31/44</v>
          </cell>
          <cell r="C4">
            <v>0.32</v>
          </cell>
          <cell r="D4">
            <v>0.42</v>
          </cell>
          <cell r="E4">
            <v>0.78</v>
          </cell>
          <cell r="F4">
            <v>0.8</v>
          </cell>
          <cell r="G4">
            <v>0.81</v>
          </cell>
          <cell r="H4">
            <v>0.88</v>
          </cell>
          <cell r="I4">
            <v>0.92</v>
          </cell>
          <cell r="J4">
            <v>1.25</v>
          </cell>
          <cell r="K4">
            <v>1.42</v>
          </cell>
          <cell r="L4">
            <v>1.65</v>
          </cell>
          <cell r="M4">
            <v>1.91</v>
          </cell>
          <cell r="N4">
            <v>2.11</v>
          </cell>
          <cell r="O4">
            <v>2.27</v>
          </cell>
          <cell r="P4">
            <v>2.46</v>
          </cell>
          <cell r="Q4">
            <v>2.56</v>
          </cell>
        </row>
        <row r="5">
          <cell r="A5" t="str">
            <v xml:space="preserve"> 4/29/44</v>
          </cell>
          <cell r="C5">
            <v>0.28999999999999998</v>
          </cell>
          <cell r="D5">
            <v>0.4</v>
          </cell>
          <cell r="E5">
            <v>0.7</v>
          </cell>
          <cell r="F5">
            <v>0.76</v>
          </cell>
          <cell r="G5">
            <v>0.78</v>
          </cell>
          <cell r="H5">
            <v>0.89</v>
          </cell>
          <cell r="I5">
            <v>0.94</v>
          </cell>
          <cell r="J5">
            <v>1.23</v>
          </cell>
          <cell r="K5">
            <v>1.37</v>
          </cell>
          <cell r="L5">
            <v>1.63</v>
          </cell>
          <cell r="M5">
            <v>1.92</v>
          </cell>
          <cell r="N5">
            <v>2.13</v>
          </cell>
          <cell r="O5">
            <v>2.2799999999999998</v>
          </cell>
          <cell r="P5">
            <v>2.4700000000000002</v>
          </cell>
          <cell r="Q5">
            <v>2.57</v>
          </cell>
        </row>
        <row r="6">
          <cell r="A6" t="str">
            <v xml:space="preserve"> 5/31/44</v>
          </cell>
          <cell r="C6">
            <v>0.3</v>
          </cell>
          <cell r="D6">
            <v>0.55000000000000004</v>
          </cell>
          <cell r="E6">
            <v>0.74</v>
          </cell>
          <cell r="F6">
            <v>0.78</v>
          </cell>
          <cell r="G6">
            <v>0.79</v>
          </cell>
          <cell r="H6">
            <v>0.89</v>
          </cell>
          <cell r="I6">
            <v>0.94</v>
          </cell>
          <cell r="J6">
            <v>1.24</v>
          </cell>
          <cell r="K6">
            <v>1.39</v>
          </cell>
          <cell r="L6">
            <v>1.64</v>
          </cell>
          <cell r="M6">
            <v>1.92</v>
          </cell>
          <cell r="N6">
            <v>2.12</v>
          </cell>
          <cell r="O6">
            <v>2.2799999999999998</v>
          </cell>
          <cell r="P6">
            <v>2.4700000000000002</v>
          </cell>
          <cell r="Q6">
            <v>2.56</v>
          </cell>
        </row>
        <row r="7">
          <cell r="A7" t="str">
            <v xml:space="preserve"> 6/30/44</v>
          </cell>
          <cell r="C7">
            <v>0.32</v>
          </cell>
          <cell r="D7">
            <v>0.52</v>
          </cell>
          <cell r="E7">
            <v>0.8</v>
          </cell>
          <cell r="F7">
            <v>0.78</v>
          </cell>
          <cell r="G7">
            <v>0.76</v>
          </cell>
          <cell r="H7">
            <v>0.9</v>
          </cell>
          <cell r="I7">
            <v>0.96</v>
          </cell>
          <cell r="J7">
            <v>1.26</v>
          </cell>
          <cell r="K7">
            <v>1.41</v>
          </cell>
          <cell r="L7">
            <v>1.65</v>
          </cell>
          <cell r="M7">
            <v>1.93</v>
          </cell>
          <cell r="N7">
            <v>2.14</v>
          </cell>
          <cell r="O7">
            <v>2.2999999999999998</v>
          </cell>
          <cell r="P7">
            <v>2.48</v>
          </cell>
          <cell r="Q7">
            <v>2.57</v>
          </cell>
        </row>
        <row r="8">
          <cell r="A8" t="str">
            <v xml:space="preserve"> 7/31/44</v>
          </cell>
          <cell r="C8">
            <v>0.28999999999999998</v>
          </cell>
          <cell r="D8">
            <v>0.53</v>
          </cell>
          <cell r="E8">
            <v>0.7</v>
          </cell>
          <cell r="F8">
            <v>0.74</v>
          </cell>
          <cell r="G8">
            <v>0.76</v>
          </cell>
          <cell r="H8">
            <v>0.87</v>
          </cell>
          <cell r="I8">
            <v>0.93</v>
          </cell>
          <cell r="J8">
            <v>1.24</v>
          </cell>
          <cell r="K8">
            <v>1.39</v>
          </cell>
          <cell r="L8">
            <v>1.64</v>
          </cell>
          <cell r="M8">
            <v>1.92</v>
          </cell>
          <cell r="N8">
            <v>2.13</v>
          </cell>
          <cell r="O8">
            <v>2.2999999999999998</v>
          </cell>
          <cell r="P8">
            <v>2.4700000000000002</v>
          </cell>
          <cell r="Q8">
            <v>2.56</v>
          </cell>
        </row>
        <row r="9">
          <cell r="A9" t="str">
            <v xml:space="preserve"> 8/31/44</v>
          </cell>
          <cell r="C9">
            <v>0.28999999999999998</v>
          </cell>
          <cell r="D9">
            <v>0.39</v>
          </cell>
          <cell r="E9">
            <v>0.69</v>
          </cell>
          <cell r="F9">
            <v>0.73</v>
          </cell>
          <cell r="G9">
            <v>0.75</v>
          </cell>
          <cell r="H9">
            <v>0.89</v>
          </cell>
          <cell r="I9">
            <v>0.95</v>
          </cell>
          <cell r="J9">
            <v>1.24</v>
          </cell>
          <cell r="K9">
            <v>1.38</v>
          </cell>
          <cell r="L9">
            <v>1.62</v>
          </cell>
          <cell r="M9">
            <v>1.9</v>
          </cell>
          <cell r="N9">
            <v>2.1</v>
          </cell>
          <cell r="O9">
            <v>2.2599999999999998</v>
          </cell>
          <cell r="P9">
            <v>2.46</v>
          </cell>
          <cell r="Q9">
            <v>2.56</v>
          </cell>
        </row>
        <row r="10">
          <cell r="A10" t="str">
            <v xml:space="preserve"> 9/30/44</v>
          </cell>
          <cell r="C10">
            <v>0.33</v>
          </cell>
          <cell r="D10">
            <v>0.43</v>
          </cell>
          <cell r="E10">
            <v>0.78</v>
          </cell>
          <cell r="F10">
            <v>0.78</v>
          </cell>
          <cell r="G10">
            <v>0.78</v>
          </cell>
          <cell r="H10">
            <v>0.9</v>
          </cell>
          <cell r="I10">
            <v>0.96</v>
          </cell>
          <cell r="J10">
            <v>1.25</v>
          </cell>
          <cell r="K10">
            <v>1.4</v>
          </cell>
          <cell r="L10">
            <v>1.64</v>
          </cell>
          <cell r="M10">
            <v>1.91</v>
          </cell>
          <cell r="N10">
            <v>2.12</v>
          </cell>
          <cell r="O10">
            <v>2.27</v>
          </cell>
          <cell r="P10">
            <v>2.4700000000000002</v>
          </cell>
          <cell r="Q10">
            <v>2.56</v>
          </cell>
        </row>
        <row r="11">
          <cell r="A11" t="str">
            <v>10/31/44</v>
          </cell>
          <cell r="C11">
            <v>0.3</v>
          </cell>
          <cell r="D11">
            <v>0.45</v>
          </cell>
          <cell r="E11">
            <v>0.78</v>
          </cell>
          <cell r="F11">
            <v>0.77</v>
          </cell>
          <cell r="G11">
            <v>0.77</v>
          </cell>
          <cell r="H11">
            <v>0.94</v>
          </cell>
          <cell r="I11">
            <v>1.02</v>
          </cell>
          <cell r="J11">
            <v>1.29</v>
          </cell>
          <cell r="K11">
            <v>1.42</v>
          </cell>
          <cell r="L11">
            <v>1.66</v>
          </cell>
          <cell r="M11">
            <v>1.93</v>
          </cell>
          <cell r="N11">
            <v>2.13</v>
          </cell>
          <cell r="O11">
            <v>2.29</v>
          </cell>
          <cell r="P11">
            <v>2.48</v>
          </cell>
          <cell r="Q11">
            <v>2.57</v>
          </cell>
        </row>
        <row r="12">
          <cell r="A12" t="str">
            <v>11/30/44</v>
          </cell>
          <cell r="C12">
            <v>0.28999999999999998</v>
          </cell>
          <cell r="D12">
            <v>0.51</v>
          </cell>
          <cell r="E12">
            <v>0.81</v>
          </cell>
          <cell r="F12">
            <v>0.8</v>
          </cell>
          <cell r="G12">
            <v>0.79</v>
          </cell>
          <cell r="H12">
            <v>0.97</v>
          </cell>
          <cell r="I12">
            <v>1.06</v>
          </cell>
          <cell r="J12">
            <v>1.31</v>
          </cell>
          <cell r="K12">
            <v>1.44</v>
          </cell>
          <cell r="L12">
            <v>1.67</v>
          </cell>
          <cell r="M12">
            <v>1.93</v>
          </cell>
          <cell r="N12">
            <v>2.13</v>
          </cell>
          <cell r="O12">
            <v>2.2799999999999998</v>
          </cell>
          <cell r="P12">
            <v>2.48</v>
          </cell>
          <cell r="Q12">
            <v>2.56</v>
          </cell>
        </row>
        <row r="13">
          <cell r="A13" t="str">
            <v>12/30/44</v>
          </cell>
          <cell r="C13">
            <v>0.28999999999999998</v>
          </cell>
          <cell r="D13">
            <v>0.46</v>
          </cell>
          <cell r="E13">
            <v>0.81</v>
          </cell>
          <cell r="F13">
            <v>0.82</v>
          </cell>
          <cell r="G13">
            <v>0.82</v>
          </cell>
          <cell r="H13">
            <v>0.97</v>
          </cell>
          <cell r="I13">
            <v>1.05</v>
          </cell>
          <cell r="J13">
            <v>1.32</v>
          </cell>
          <cell r="K13">
            <v>1.45</v>
          </cell>
          <cell r="L13">
            <v>1.68</v>
          </cell>
          <cell r="M13">
            <v>1.94</v>
          </cell>
          <cell r="N13">
            <v>2.13</v>
          </cell>
          <cell r="O13">
            <v>2.2799999999999998</v>
          </cell>
          <cell r="P13">
            <v>2.4700000000000002</v>
          </cell>
          <cell r="Q13">
            <v>2.5499999999999998</v>
          </cell>
        </row>
        <row r="14">
          <cell r="A14" t="str">
            <v xml:space="preserve"> 1/31/45</v>
          </cell>
          <cell r="C14">
            <v>0.28999999999999998</v>
          </cell>
          <cell r="D14">
            <v>0.49</v>
          </cell>
          <cell r="E14">
            <v>0.72</v>
          </cell>
          <cell r="F14">
            <v>0.76</v>
          </cell>
          <cell r="G14">
            <v>0.78</v>
          </cell>
          <cell r="H14">
            <v>0.91</v>
          </cell>
          <cell r="I14">
            <v>0.98</v>
          </cell>
          <cell r="J14">
            <v>1.22</v>
          </cell>
          <cell r="K14">
            <v>1.34</v>
          </cell>
          <cell r="L14">
            <v>1.56</v>
          </cell>
          <cell r="M14">
            <v>1.81</v>
          </cell>
          <cell r="N14">
            <v>1.99</v>
          </cell>
          <cell r="O14">
            <v>2.14</v>
          </cell>
          <cell r="P14">
            <v>2.39</v>
          </cell>
          <cell r="Q14">
            <v>2.5</v>
          </cell>
        </row>
        <row r="15">
          <cell r="A15" t="str">
            <v xml:space="preserve"> 2/28/45</v>
          </cell>
          <cell r="C15">
            <v>0.28999999999999998</v>
          </cell>
          <cell r="D15">
            <v>0.41</v>
          </cell>
          <cell r="E15">
            <v>0.68</v>
          </cell>
          <cell r="F15">
            <v>0.75</v>
          </cell>
          <cell r="G15">
            <v>0.78</v>
          </cell>
          <cell r="H15">
            <v>0.87</v>
          </cell>
          <cell r="I15">
            <v>0.91</v>
          </cell>
          <cell r="J15">
            <v>1.1599999999999999</v>
          </cell>
          <cell r="K15">
            <v>1.29</v>
          </cell>
          <cell r="L15">
            <v>1.5</v>
          </cell>
          <cell r="M15">
            <v>1.75</v>
          </cell>
          <cell r="N15">
            <v>1.93</v>
          </cell>
          <cell r="O15">
            <v>2.0699999999999998</v>
          </cell>
          <cell r="P15">
            <v>2.35</v>
          </cell>
          <cell r="Q15">
            <v>2.48</v>
          </cell>
        </row>
        <row r="16">
          <cell r="A16" t="str">
            <v xml:space="preserve"> 3/31/45</v>
          </cell>
          <cell r="C16">
            <v>0.33</v>
          </cell>
          <cell r="D16">
            <v>0.39</v>
          </cell>
          <cell r="E16">
            <v>0.66</v>
          </cell>
          <cell r="F16">
            <v>0.74</v>
          </cell>
          <cell r="G16">
            <v>0.78</v>
          </cell>
          <cell r="H16">
            <v>0.87</v>
          </cell>
          <cell r="I16">
            <v>0.92</v>
          </cell>
          <cell r="J16">
            <v>1.1599999999999999</v>
          </cell>
          <cell r="K16">
            <v>1.28</v>
          </cell>
          <cell r="L16">
            <v>1.48</v>
          </cell>
          <cell r="M16">
            <v>1.71</v>
          </cell>
          <cell r="N16">
            <v>1.88</v>
          </cell>
          <cell r="O16">
            <v>2.0099999999999998</v>
          </cell>
          <cell r="P16">
            <v>2.35</v>
          </cell>
          <cell r="Q16">
            <v>2.4900000000000002</v>
          </cell>
        </row>
        <row r="17">
          <cell r="A17" t="str">
            <v xml:space="preserve"> 4/30/45</v>
          </cell>
          <cell r="C17">
            <v>0.28999999999999998</v>
          </cell>
          <cell r="D17">
            <v>0.47</v>
          </cell>
          <cell r="E17">
            <v>0.74</v>
          </cell>
          <cell r="F17">
            <v>0.78</v>
          </cell>
          <cell r="G17">
            <v>0.8</v>
          </cell>
          <cell r="H17">
            <v>0.92</v>
          </cell>
          <cell r="I17">
            <v>0.98</v>
          </cell>
          <cell r="J17">
            <v>1.1299999999999999</v>
          </cell>
          <cell r="K17">
            <v>1.2</v>
          </cell>
          <cell r="L17">
            <v>1.39</v>
          </cell>
          <cell r="M17">
            <v>1.59</v>
          </cell>
          <cell r="N17">
            <v>1.75</v>
          </cell>
          <cell r="O17">
            <v>1.87</v>
          </cell>
          <cell r="P17">
            <v>2.2599999999999998</v>
          </cell>
          <cell r="Q17">
            <v>2.41</v>
          </cell>
        </row>
        <row r="18">
          <cell r="A18" t="str">
            <v xml:space="preserve"> 5/31/45</v>
          </cell>
          <cell r="C18">
            <v>0.28999999999999998</v>
          </cell>
          <cell r="D18">
            <v>0.47</v>
          </cell>
          <cell r="E18">
            <v>0.77</v>
          </cell>
          <cell r="F18">
            <v>0.81</v>
          </cell>
          <cell r="G18">
            <v>0.83</v>
          </cell>
          <cell r="H18">
            <v>0.97</v>
          </cell>
          <cell r="I18">
            <v>1.04</v>
          </cell>
          <cell r="J18">
            <v>1.2</v>
          </cell>
          <cell r="K18">
            <v>1.28</v>
          </cell>
          <cell r="L18">
            <v>1.44</v>
          </cell>
          <cell r="M18">
            <v>1.62</v>
          </cell>
          <cell r="N18">
            <v>1.75</v>
          </cell>
          <cell r="O18">
            <v>1.86</v>
          </cell>
          <cell r="P18">
            <v>2.2400000000000002</v>
          </cell>
          <cell r="Q18">
            <v>2.39</v>
          </cell>
        </row>
        <row r="19">
          <cell r="A19" t="str">
            <v xml:space="preserve"> 6/30/45</v>
          </cell>
          <cell r="C19">
            <v>0.33</v>
          </cell>
          <cell r="D19">
            <v>0.56999999999999995</v>
          </cell>
          <cell r="E19">
            <v>0.79</v>
          </cell>
          <cell r="F19">
            <v>0.81</v>
          </cell>
          <cell r="G19">
            <v>0.82</v>
          </cell>
          <cell r="H19">
            <v>0.98</v>
          </cell>
          <cell r="I19">
            <v>1.06</v>
          </cell>
          <cell r="J19">
            <v>1.1499999999999999</v>
          </cell>
          <cell r="K19">
            <v>1.2</v>
          </cell>
          <cell r="L19">
            <v>1.36</v>
          </cell>
          <cell r="M19">
            <v>1.55</v>
          </cell>
          <cell r="N19">
            <v>1.7</v>
          </cell>
          <cell r="O19">
            <v>1.81</v>
          </cell>
          <cell r="P19">
            <v>2.16</v>
          </cell>
          <cell r="Q19">
            <v>2.29</v>
          </cell>
        </row>
        <row r="20">
          <cell r="A20" t="str">
            <v xml:space="preserve"> 7/31/45</v>
          </cell>
          <cell r="C20">
            <v>0.3</v>
          </cell>
          <cell r="D20">
            <v>0.42</v>
          </cell>
          <cell r="E20">
            <v>0.86</v>
          </cell>
          <cell r="F20">
            <v>0.84</v>
          </cell>
          <cell r="G20">
            <v>0.83</v>
          </cell>
          <cell r="H20">
            <v>1.02</v>
          </cell>
          <cell r="I20">
            <v>1.1100000000000001</v>
          </cell>
          <cell r="J20">
            <v>1.21</v>
          </cell>
          <cell r="K20">
            <v>1.26</v>
          </cell>
          <cell r="L20">
            <v>1.41</v>
          </cell>
          <cell r="M20">
            <v>1.59</v>
          </cell>
          <cell r="N20">
            <v>1.73</v>
          </cell>
          <cell r="O20">
            <v>1.83</v>
          </cell>
          <cell r="P20">
            <v>2.2200000000000002</v>
          </cell>
          <cell r="Q20">
            <v>2.36</v>
          </cell>
        </row>
        <row r="21">
          <cell r="A21" t="str">
            <v xml:space="preserve"> 8/31/45</v>
          </cell>
          <cell r="C21">
            <v>0.32</v>
          </cell>
          <cell r="D21">
            <v>0.53</v>
          </cell>
          <cell r="E21">
            <v>0.84</v>
          </cell>
          <cell r="F21">
            <v>0.84</v>
          </cell>
          <cell r="G21">
            <v>0.84</v>
          </cell>
          <cell r="H21">
            <v>0.98</v>
          </cell>
          <cell r="I21">
            <v>1.05</v>
          </cell>
          <cell r="J21">
            <v>1.2</v>
          </cell>
          <cell r="K21">
            <v>1.28</v>
          </cell>
          <cell r="L21">
            <v>1.42</v>
          </cell>
          <cell r="M21">
            <v>1.58</v>
          </cell>
          <cell r="N21">
            <v>1.7</v>
          </cell>
          <cell r="O21">
            <v>1.8</v>
          </cell>
          <cell r="P21">
            <v>2.21</v>
          </cell>
          <cell r="Q21">
            <v>2.36</v>
          </cell>
        </row>
        <row r="22">
          <cell r="A22" t="str">
            <v xml:space="preserve"> 9/29/45</v>
          </cell>
          <cell r="C22">
            <v>0.33</v>
          </cell>
          <cell r="D22">
            <v>0.56999999999999995</v>
          </cell>
          <cell r="E22">
            <v>0.86</v>
          </cell>
          <cell r="F22">
            <v>0.86</v>
          </cell>
          <cell r="G22">
            <v>0.86</v>
          </cell>
          <cell r="H22">
            <v>0.98</v>
          </cell>
          <cell r="I22">
            <v>1.04</v>
          </cell>
          <cell r="J22">
            <v>1.2</v>
          </cell>
          <cell r="K22">
            <v>1.29</v>
          </cell>
          <cell r="L22">
            <v>1.42</v>
          </cell>
          <cell r="M22">
            <v>1.57</v>
          </cell>
          <cell r="N22">
            <v>1.68</v>
          </cell>
          <cell r="O22">
            <v>1.77</v>
          </cell>
          <cell r="P22">
            <v>2.19</v>
          </cell>
          <cell r="Q22">
            <v>2.34</v>
          </cell>
        </row>
        <row r="23">
          <cell r="A23" t="str">
            <v>10/31/45</v>
          </cell>
          <cell r="C23">
            <v>0.28999999999999998</v>
          </cell>
          <cell r="D23">
            <v>0.53</v>
          </cell>
          <cell r="E23">
            <v>0.86</v>
          </cell>
          <cell r="F23">
            <v>0.85</v>
          </cell>
          <cell r="G23">
            <v>0.84</v>
          </cell>
          <cell r="H23">
            <v>0.96</v>
          </cell>
          <cell r="I23">
            <v>1.01</v>
          </cell>
          <cell r="J23">
            <v>1.1599999999999999</v>
          </cell>
          <cell r="K23">
            <v>1.23</v>
          </cell>
          <cell r="L23">
            <v>1.36</v>
          </cell>
          <cell r="M23">
            <v>1.51</v>
          </cell>
          <cell r="N23">
            <v>1.62</v>
          </cell>
          <cell r="O23">
            <v>1.71</v>
          </cell>
          <cell r="P23">
            <v>2.15</v>
          </cell>
          <cell r="Q23">
            <v>2.29</v>
          </cell>
        </row>
        <row r="24">
          <cell r="A24" t="str">
            <v>11/30/45</v>
          </cell>
          <cell r="C24">
            <v>0.32</v>
          </cell>
          <cell r="D24">
            <v>0.64</v>
          </cell>
          <cell r="E24">
            <v>0.86</v>
          </cell>
          <cell r="F24">
            <v>0.87</v>
          </cell>
          <cell r="G24">
            <v>0.87</v>
          </cell>
          <cell r="H24">
            <v>0.98</v>
          </cell>
          <cell r="I24">
            <v>1.04</v>
          </cell>
          <cell r="J24">
            <v>1.1200000000000001</v>
          </cell>
          <cell r="K24">
            <v>1.1499999999999999</v>
          </cell>
          <cell r="L24">
            <v>1.29</v>
          </cell>
          <cell r="M24">
            <v>1.44</v>
          </cell>
          <cell r="N24">
            <v>1.56</v>
          </cell>
          <cell r="O24">
            <v>1.65</v>
          </cell>
          <cell r="P24">
            <v>2.09</v>
          </cell>
          <cell r="Q24">
            <v>2.23</v>
          </cell>
        </row>
        <row r="25">
          <cell r="A25" t="str">
            <v>12/31/45</v>
          </cell>
          <cell r="C25">
            <v>0.34</v>
          </cell>
          <cell r="D25">
            <v>0.51</v>
          </cell>
          <cell r="E25">
            <v>0.86</v>
          </cell>
          <cell r="F25">
            <v>0.85</v>
          </cell>
          <cell r="G25">
            <v>0.85</v>
          </cell>
          <cell r="H25">
            <v>0.94</v>
          </cell>
          <cell r="I25">
            <v>0.99</v>
          </cell>
          <cell r="J25">
            <v>1.1100000000000001</v>
          </cell>
          <cell r="K25">
            <v>1.17</v>
          </cell>
          <cell r="L25">
            <v>1.23</v>
          </cell>
          <cell r="M25">
            <v>1.29</v>
          </cell>
          <cell r="N25">
            <v>1.7</v>
          </cell>
          <cell r="O25">
            <v>2.2400000000000002</v>
          </cell>
          <cell r="P25">
            <v>2.09</v>
          </cell>
          <cell r="Q25">
            <v>2.02</v>
          </cell>
        </row>
        <row r="26">
          <cell r="A26" t="str">
            <v xml:space="preserve"> 1/31/46</v>
          </cell>
          <cell r="C26">
            <v>0.33</v>
          </cell>
          <cell r="D26">
            <v>0.47</v>
          </cell>
          <cell r="E26">
            <v>0.78</v>
          </cell>
          <cell r="F26">
            <v>0.79</v>
          </cell>
          <cell r="G26">
            <v>0.79</v>
          </cell>
          <cell r="H26">
            <v>0.85</v>
          </cell>
          <cell r="I26">
            <v>0.88</v>
          </cell>
          <cell r="J26">
            <v>1</v>
          </cell>
          <cell r="K26">
            <v>1.06</v>
          </cell>
          <cell r="L26">
            <v>1.1499999999999999</v>
          </cell>
          <cell r="M26">
            <v>1.25</v>
          </cell>
          <cell r="N26">
            <v>1.64</v>
          </cell>
          <cell r="O26">
            <v>2.11</v>
          </cell>
          <cell r="P26">
            <v>2.0699999999999998</v>
          </cell>
          <cell r="Q26">
            <v>2.04</v>
          </cell>
        </row>
        <row r="27">
          <cell r="A27" t="str">
            <v xml:space="preserve"> 2/28/46</v>
          </cell>
          <cell r="C27">
            <v>0.33</v>
          </cell>
          <cell r="D27">
            <v>0.45</v>
          </cell>
          <cell r="E27">
            <v>0.71</v>
          </cell>
          <cell r="F27">
            <v>0.75</v>
          </cell>
          <cell r="G27">
            <v>0.77</v>
          </cell>
          <cell r="H27">
            <v>0.78</v>
          </cell>
          <cell r="I27">
            <v>0.79</v>
          </cell>
          <cell r="J27">
            <v>0.9</v>
          </cell>
          <cell r="K27">
            <v>0.96</v>
          </cell>
          <cell r="L27">
            <v>1.1000000000000001</v>
          </cell>
          <cell r="M27">
            <v>1.25</v>
          </cell>
          <cell r="N27">
            <v>1.62</v>
          </cell>
          <cell r="O27">
            <v>2.0499999999999998</v>
          </cell>
          <cell r="P27">
            <v>2.0499999999999998</v>
          </cell>
          <cell r="Q27">
            <v>2.04</v>
          </cell>
        </row>
        <row r="28">
          <cell r="A28" t="str">
            <v xml:space="preserve"> 3/30/46</v>
          </cell>
          <cell r="C28">
            <v>0.33</v>
          </cell>
          <cell r="D28">
            <v>0.56000000000000005</v>
          </cell>
          <cell r="E28">
            <v>0.81</v>
          </cell>
          <cell r="F28">
            <v>0.81</v>
          </cell>
          <cell r="G28">
            <v>0.8</v>
          </cell>
          <cell r="H28">
            <v>0.88</v>
          </cell>
          <cell r="I28">
            <v>0.92</v>
          </cell>
          <cell r="J28">
            <v>1.03</v>
          </cell>
          <cell r="K28">
            <v>1.0900000000000001</v>
          </cell>
          <cell r="L28">
            <v>1.1599999999999999</v>
          </cell>
          <cell r="M28">
            <v>1.25</v>
          </cell>
          <cell r="N28">
            <v>1.6</v>
          </cell>
          <cell r="O28">
            <v>2.04</v>
          </cell>
          <cell r="P28">
            <v>2.0499999999999998</v>
          </cell>
          <cell r="Q28">
            <v>2.04</v>
          </cell>
        </row>
        <row r="29">
          <cell r="A29" t="str">
            <v xml:space="preserve"> 4/30/46</v>
          </cell>
          <cell r="C29">
            <v>0.34</v>
          </cell>
          <cell r="D29">
            <v>0.55000000000000004</v>
          </cell>
          <cell r="E29">
            <v>0.85</v>
          </cell>
          <cell r="F29">
            <v>0.86</v>
          </cell>
          <cell r="G29">
            <v>0.86</v>
          </cell>
          <cell r="H29">
            <v>0.95</v>
          </cell>
          <cell r="I29">
            <v>0.99</v>
          </cell>
          <cell r="J29">
            <v>1.1299999999999999</v>
          </cell>
          <cell r="K29">
            <v>1.21</v>
          </cell>
          <cell r="L29">
            <v>1.3</v>
          </cell>
          <cell r="M29">
            <v>1.4</v>
          </cell>
          <cell r="N29">
            <v>1.75</v>
          </cell>
          <cell r="O29">
            <v>2.17</v>
          </cell>
          <cell r="P29">
            <v>2.14</v>
          </cell>
          <cell r="Q29">
            <v>2.12</v>
          </cell>
        </row>
        <row r="30">
          <cell r="A30" t="str">
            <v xml:space="preserve"> 5/31/46</v>
          </cell>
          <cell r="C30">
            <v>0.35</v>
          </cell>
          <cell r="D30">
            <v>0.56000000000000005</v>
          </cell>
          <cell r="E30">
            <v>0.86</v>
          </cell>
          <cell r="F30">
            <v>0.85</v>
          </cell>
          <cell r="G30">
            <v>0.84</v>
          </cell>
          <cell r="H30">
            <v>0.95</v>
          </cell>
          <cell r="I30">
            <v>1</v>
          </cell>
          <cell r="J30">
            <v>1.1399999999999999</v>
          </cell>
          <cell r="K30">
            <v>1.21</v>
          </cell>
          <cell r="L30">
            <v>1.31</v>
          </cell>
          <cell r="M30">
            <v>1.43</v>
          </cell>
          <cell r="N30">
            <v>1.76</v>
          </cell>
          <cell r="O30">
            <v>2.15</v>
          </cell>
          <cell r="P30">
            <v>2.16</v>
          </cell>
          <cell r="Q30">
            <v>2.15</v>
          </cell>
        </row>
        <row r="31">
          <cell r="A31" t="str">
            <v xml:space="preserve"> 6/28/46</v>
          </cell>
          <cell r="C31">
            <v>0.33</v>
          </cell>
          <cell r="D31">
            <v>0.67</v>
          </cell>
          <cell r="E31">
            <v>0.86</v>
          </cell>
          <cell r="F31">
            <v>0.84</v>
          </cell>
          <cell r="G31">
            <v>0.83</v>
          </cell>
          <cell r="H31">
            <v>0.92</v>
          </cell>
          <cell r="I31">
            <v>0.96</v>
          </cell>
          <cell r="J31">
            <v>1.08</v>
          </cell>
          <cell r="K31">
            <v>1.1299999999999999</v>
          </cell>
          <cell r="L31">
            <v>1.25</v>
          </cell>
          <cell r="M31">
            <v>1.38</v>
          </cell>
          <cell r="N31">
            <v>1.73</v>
          </cell>
          <cell r="O31">
            <v>2.14</v>
          </cell>
          <cell r="P31">
            <v>2.13</v>
          </cell>
          <cell r="Q31">
            <v>2.11</v>
          </cell>
        </row>
        <row r="32">
          <cell r="A32" t="str">
            <v xml:space="preserve"> 7/31/46</v>
          </cell>
          <cell r="C32">
            <v>0.32</v>
          </cell>
          <cell r="D32">
            <v>0.61</v>
          </cell>
          <cell r="E32">
            <v>0.87</v>
          </cell>
          <cell r="F32">
            <v>0.85</v>
          </cell>
          <cell r="G32">
            <v>0.84</v>
          </cell>
          <cell r="H32">
            <v>0.93</v>
          </cell>
          <cell r="I32">
            <v>0.97</v>
          </cell>
          <cell r="J32">
            <v>1.1100000000000001</v>
          </cell>
          <cell r="K32">
            <v>1.17</v>
          </cell>
          <cell r="L32">
            <v>1.28</v>
          </cell>
          <cell r="M32">
            <v>1.4</v>
          </cell>
          <cell r="N32">
            <v>1.77</v>
          </cell>
          <cell r="O32">
            <v>2.2200000000000002</v>
          </cell>
          <cell r="P32">
            <v>2.17</v>
          </cell>
          <cell r="Q32">
            <v>2.14</v>
          </cell>
        </row>
        <row r="33">
          <cell r="A33" t="str">
            <v xml:space="preserve"> 8/30/46</v>
          </cell>
          <cell r="C33">
            <v>0.33</v>
          </cell>
          <cell r="D33">
            <v>0.56999999999999995</v>
          </cell>
          <cell r="E33">
            <v>0.88</v>
          </cell>
          <cell r="F33">
            <v>0.87</v>
          </cell>
          <cell r="G33">
            <v>0.87</v>
          </cell>
          <cell r="H33">
            <v>0.97</v>
          </cell>
          <cell r="I33">
            <v>1.02</v>
          </cell>
          <cell r="J33">
            <v>1.1599999999999999</v>
          </cell>
          <cell r="K33">
            <v>1.23</v>
          </cell>
          <cell r="L33">
            <v>1.35</v>
          </cell>
          <cell r="M33">
            <v>1.49</v>
          </cell>
          <cell r="N33">
            <v>1.83</v>
          </cell>
          <cell r="O33">
            <v>2.23</v>
          </cell>
          <cell r="P33">
            <v>2.2400000000000002</v>
          </cell>
          <cell r="Q33">
            <v>2.23</v>
          </cell>
        </row>
        <row r="34">
          <cell r="A34" t="str">
            <v xml:space="preserve"> 9/30/46</v>
          </cell>
          <cell r="C34">
            <v>0.34</v>
          </cell>
          <cell r="D34">
            <v>0.57999999999999996</v>
          </cell>
          <cell r="E34">
            <v>0.89</v>
          </cell>
          <cell r="F34">
            <v>0.87</v>
          </cell>
          <cell r="G34">
            <v>0.86</v>
          </cell>
          <cell r="H34">
            <v>1.03</v>
          </cell>
          <cell r="I34">
            <v>1.1100000000000001</v>
          </cell>
          <cell r="J34">
            <v>1.25</v>
          </cell>
          <cell r="K34">
            <v>1.32</v>
          </cell>
          <cell r="L34">
            <v>1.43</v>
          </cell>
          <cell r="M34">
            <v>1.55</v>
          </cell>
          <cell r="N34">
            <v>1.88</v>
          </cell>
          <cell r="O34">
            <v>2.2599999999999998</v>
          </cell>
          <cell r="P34">
            <v>2.25</v>
          </cell>
          <cell r="Q34">
            <v>2.2400000000000002</v>
          </cell>
        </row>
        <row r="35">
          <cell r="A35" t="str">
            <v>10/31/46</v>
          </cell>
          <cell r="C35">
            <v>0.32</v>
          </cell>
          <cell r="D35">
            <v>0.55000000000000004</v>
          </cell>
          <cell r="E35">
            <v>0.89</v>
          </cell>
          <cell r="F35">
            <v>0.86</v>
          </cell>
          <cell r="G35">
            <v>0.84</v>
          </cell>
          <cell r="H35">
            <v>0.97</v>
          </cell>
          <cell r="I35">
            <v>1.03</v>
          </cell>
          <cell r="J35">
            <v>1.2</v>
          </cell>
          <cell r="K35">
            <v>1.29</v>
          </cell>
          <cell r="L35">
            <v>1.42</v>
          </cell>
          <cell r="M35">
            <v>1.56</v>
          </cell>
          <cell r="N35">
            <v>1.86</v>
          </cell>
          <cell r="O35">
            <v>2.2000000000000002</v>
          </cell>
          <cell r="P35">
            <v>2.2200000000000002</v>
          </cell>
          <cell r="Q35">
            <v>2.21</v>
          </cell>
        </row>
        <row r="36">
          <cell r="A36" t="str">
            <v>11/30/46</v>
          </cell>
          <cell r="C36">
            <v>0.33</v>
          </cell>
          <cell r="D36">
            <v>0.7</v>
          </cell>
          <cell r="E36">
            <v>0.87</v>
          </cell>
          <cell r="F36">
            <v>0.86</v>
          </cell>
          <cell r="G36">
            <v>0.86</v>
          </cell>
          <cell r="H36">
            <v>1.02</v>
          </cell>
          <cell r="I36">
            <v>1.1000000000000001</v>
          </cell>
          <cell r="J36">
            <v>1.27</v>
          </cell>
          <cell r="K36">
            <v>1.36</v>
          </cell>
          <cell r="L36">
            <v>1.5</v>
          </cell>
          <cell r="M36">
            <v>1.66</v>
          </cell>
          <cell r="N36">
            <v>1.94</v>
          </cell>
          <cell r="O36">
            <v>2.25</v>
          </cell>
          <cell r="P36">
            <v>2.2599999999999998</v>
          </cell>
          <cell r="Q36">
            <v>2.25</v>
          </cell>
        </row>
        <row r="37">
          <cell r="A37" t="str">
            <v>12/31/46</v>
          </cell>
          <cell r="C37">
            <v>0.32</v>
          </cell>
          <cell r="D37">
            <v>0.47</v>
          </cell>
          <cell r="E37">
            <v>0.84</v>
          </cell>
          <cell r="F37">
            <v>0.85</v>
          </cell>
          <cell r="G37">
            <v>0.86</v>
          </cell>
          <cell r="H37">
            <v>0.97</v>
          </cell>
          <cell r="I37">
            <v>1.03</v>
          </cell>
          <cell r="J37">
            <v>1.2</v>
          </cell>
          <cell r="K37">
            <v>1.29</v>
          </cell>
          <cell r="L37">
            <v>1.41</v>
          </cell>
          <cell r="M37">
            <v>1.55</v>
          </cell>
          <cell r="N37">
            <v>1.85</v>
          </cell>
          <cell r="O37">
            <v>2.2000000000000002</v>
          </cell>
          <cell r="P37">
            <v>2.1800000000000002</v>
          </cell>
          <cell r="Q37">
            <v>2.17</v>
          </cell>
        </row>
        <row r="38">
          <cell r="A38" t="str">
            <v xml:space="preserve"> 1/31/47</v>
          </cell>
          <cell r="C38">
            <v>0.33</v>
          </cell>
          <cell r="D38">
            <v>0.44</v>
          </cell>
          <cell r="E38">
            <v>0.83</v>
          </cell>
          <cell r="F38">
            <v>0.85</v>
          </cell>
          <cell r="G38">
            <v>0.86</v>
          </cell>
          <cell r="H38">
            <v>0.93</v>
          </cell>
          <cell r="I38">
            <v>0.97</v>
          </cell>
          <cell r="J38">
            <v>1.18</v>
          </cell>
          <cell r="K38">
            <v>1.28</v>
          </cell>
          <cell r="L38">
            <v>1.38</v>
          </cell>
          <cell r="M38">
            <v>1.49</v>
          </cell>
          <cell r="N38">
            <v>1.81</v>
          </cell>
          <cell r="O38">
            <v>2.19</v>
          </cell>
          <cell r="P38">
            <v>2.2000000000000002</v>
          </cell>
          <cell r="Q38">
            <v>2.2000000000000002</v>
          </cell>
        </row>
        <row r="39">
          <cell r="A39" t="str">
            <v xml:space="preserve"> 2/28/47</v>
          </cell>
          <cell r="C39">
            <v>0.33</v>
          </cell>
          <cell r="D39">
            <v>0.55000000000000004</v>
          </cell>
          <cell r="E39">
            <v>0.82</v>
          </cell>
          <cell r="F39">
            <v>0.85</v>
          </cell>
          <cell r="G39">
            <v>0.87</v>
          </cell>
          <cell r="H39">
            <v>0.93</v>
          </cell>
          <cell r="I39">
            <v>0.96</v>
          </cell>
          <cell r="J39">
            <v>1.19</v>
          </cell>
          <cell r="K39">
            <v>1.3</v>
          </cell>
          <cell r="L39">
            <v>1.38</v>
          </cell>
          <cell r="M39">
            <v>1.46</v>
          </cell>
          <cell r="N39">
            <v>1.79</v>
          </cell>
          <cell r="O39">
            <v>2.19</v>
          </cell>
          <cell r="P39">
            <v>2.2000000000000002</v>
          </cell>
          <cell r="Q39">
            <v>2.19</v>
          </cell>
        </row>
        <row r="40">
          <cell r="A40" t="str">
            <v xml:space="preserve"> 3/31/47</v>
          </cell>
          <cell r="C40">
            <v>0.34</v>
          </cell>
          <cell r="D40">
            <v>0.59</v>
          </cell>
          <cell r="E40">
            <v>0.77</v>
          </cell>
          <cell r="F40">
            <v>0.81</v>
          </cell>
          <cell r="G40">
            <v>0.83</v>
          </cell>
          <cell r="H40">
            <v>0.92</v>
          </cell>
          <cell r="I40">
            <v>0.96</v>
          </cell>
          <cell r="J40">
            <v>1.1599999999999999</v>
          </cell>
          <cell r="K40">
            <v>1.27</v>
          </cell>
          <cell r="L40">
            <v>1.36</v>
          </cell>
          <cell r="M40">
            <v>1.46</v>
          </cell>
          <cell r="N40">
            <v>1.79</v>
          </cell>
          <cell r="O40">
            <v>2.19</v>
          </cell>
          <cell r="P40">
            <v>2.2000000000000002</v>
          </cell>
          <cell r="Q40">
            <v>2.19</v>
          </cell>
        </row>
        <row r="41">
          <cell r="A41" t="str">
            <v xml:space="preserve"> 4/30/47</v>
          </cell>
          <cell r="C41">
            <v>0.32</v>
          </cell>
          <cell r="D41">
            <v>0.59</v>
          </cell>
          <cell r="E41">
            <v>0.85</v>
          </cell>
          <cell r="F41">
            <v>0.87</v>
          </cell>
          <cell r="G41">
            <v>0.89</v>
          </cell>
          <cell r="H41">
            <v>1.01</v>
          </cell>
          <cell r="I41">
            <v>1.07</v>
          </cell>
          <cell r="J41">
            <v>1.24</v>
          </cell>
          <cell r="K41">
            <v>1.32</v>
          </cell>
          <cell r="L41">
            <v>1.4</v>
          </cell>
          <cell r="M41">
            <v>1.48</v>
          </cell>
          <cell r="N41">
            <v>1.81</v>
          </cell>
          <cell r="O41">
            <v>2.2000000000000002</v>
          </cell>
          <cell r="P41">
            <v>2.23</v>
          </cell>
          <cell r="Q41">
            <v>2.23</v>
          </cell>
        </row>
        <row r="42">
          <cell r="A42" t="str">
            <v xml:space="preserve"> 5/29/47</v>
          </cell>
          <cell r="C42">
            <v>0.33</v>
          </cell>
          <cell r="D42">
            <v>0.68</v>
          </cell>
          <cell r="E42">
            <v>0.87</v>
          </cell>
          <cell r="F42">
            <v>0.87</v>
          </cell>
          <cell r="G42">
            <v>0.88</v>
          </cell>
          <cell r="H42">
            <v>1.02</v>
          </cell>
          <cell r="I42">
            <v>1.0900000000000001</v>
          </cell>
          <cell r="J42">
            <v>1.24</v>
          </cell>
          <cell r="K42">
            <v>1.31</v>
          </cell>
          <cell r="L42">
            <v>1.39</v>
          </cell>
          <cell r="M42">
            <v>1.47</v>
          </cell>
          <cell r="N42">
            <v>1.8</v>
          </cell>
          <cell r="O42">
            <v>2.2000000000000002</v>
          </cell>
          <cell r="P42">
            <v>2.2200000000000002</v>
          </cell>
          <cell r="Q42">
            <v>2.2200000000000002</v>
          </cell>
        </row>
        <row r="43">
          <cell r="A43" t="str">
            <v xml:space="preserve"> 6/30/47</v>
          </cell>
          <cell r="C43">
            <v>0.34</v>
          </cell>
          <cell r="D43">
            <v>0.59</v>
          </cell>
          <cell r="E43">
            <v>0.86</v>
          </cell>
          <cell r="F43">
            <v>0.86</v>
          </cell>
          <cell r="G43">
            <v>0.87</v>
          </cell>
          <cell r="H43">
            <v>1.02</v>
          </cell>
          <cell r="I43">
            <v>1.0900000000000001</v>
          </cell>
          <cell r="J43">
            <v>1.26</v>
          </cell>
          <cell r="K43">
            <v>1.34</v>
          </cell>
          <cell r="L43">
            <v>1.42</v>
          </cell>
          <cell r="M43">
            <v>1.5</v>
          </cell>
          <cell r="N43">
            <v>1.84</v>
          </cell>
          <cell r="O43">
            <v>2.2599999999999998</v>
          </cell>
          <cell r="P43">
            <v>2.2200000000000002</v>
          </cell>
          <cell r="Q43">
            <v>2.2200000000000002</v>
          </cell>
        </row>
        <row r="44">
          <cell r="A44" t="str">
            <v xml:space="preserve"> 7/31/47</v>
          </cell>
          <cell r="C44">
            <v>0.33</v>
          </cell>
          <cell r="D44">
            <v>0.75</v>
          </cell>
          <cell r="E44">
            <v>0.83</v>
          </cell>
          <cell r="F44">
            <v>0.86</v>
          </cell>
          <cell r="G44">
            <v>0.88</v>
          </cell>
          <cell r="H44">
            <v>1.04</v>
          </cell>
          <cell r="I44">
            <v>1.1200000000000001</v>
          </cell>
          <cell r="J44">
            <v>1.29</v>
          </cell>
          <cell r="K44">
            <v>1.37</v>
          </cell>
          <cell r="L44">
            <v>1.42</v>
          </cell>
          <cell r="M44">
            <v>1.48</v>
          </cell>
          <cell r="N44">
            <v>1.83</v>
          </cell>
          <cell r="O44">
            <v>2.27</v>
          </cell>
          <cell r="P44">
            <v>2.19</v>
          </cell>
          <cell r="Q44">
            <v>2.1800000000000002</v>
          </cell>
        </row>
        <row r="45">
          <cell r="A45" t="str">
            <v xml:space="preserve"> 8/29/47</v>
          </cell>
          <cell r="C45">
            <v>0.32</v>
          </cell>
          <cell r="D45">
            <v>0.74</v>
          </cell>
          <cell r="E45">
            <v>0.83</v>
          </cell>
          <cell r="F45">
            <v>0.87</v>
          </cell>
          <cell r="G45">
            <v>0.89</v>
          </cell>
          <cell r="H45">
            <v>1.03</v>
          </cell>
          <cell r="I45">
            <v>1.1000000000000001</v>
          </cell>
          <cell r="J45">
            <v>1.23</v>
          </cell>
          <cell r="K45">
            <v>1.3</v>
          </cell>
          <cell r="L45">
            <v>1.36</v>
          </cell>
          <cell r="M45">
            <v>1.43</v>
          </cell>
          <cell r="N45">
            <v>1.8</v>
          </cell>
          <cell r="O45">
            <v>2.2599999999999998</v>
          </cell>
          <cell r="P45">
            <v>2.14</v>
          </cell>
          <cell r="Q45">
            <v>2.14</v>
          </cell>
        </row>
        <row r="46">
          <cell r="A46" t="str">
            <v xml:space="preserve"> 9/30/47</v>
          </cell>
          <cell r="C46">
            <v>0.75</v>
          </cell>
          <cell r="D46">
            <v>0.82</v>
          </cell>
          <cell r="E46">
            <v>0.81</v>
          </cell>
          <cell r="F46">
            <v>0.91</v>
          </cell>
          <cell r="G46">
            <v>0.95</v>
          </cell>
          <cell r="H46">
            <v>1.08</v>
          </cell>
          <cell r="I46">
            <v>1.1499999999999999</v>
          </cell>
          <cell r="J46">
            <v>1.27</v>
          </cell>
          <cell r="K46">
            <v>1.33</v>
          </cell>
          <cell r="L46">
            <v>1.4</v>
          </cell>
          <cell r="M46">
            <v>1.48</v>
          </cell>
          <cell r="N46">
            <v>1.85</v>
          </cell>
          <cell r="O46">
            <v>2.2999999999999998</v>
          </cell>
          <cell r="P46" t="e">
            <v>#N/A</v>
          </cell>
          <cell r="Q46">
            <v>2.1800000000000002</v>
          </cell>
        </row>
        <row r="47">
          <cell r="A47" t="str">
            <v>10/31/47</v>
          </cell>
          <cell r="C47">
            <v>0.79</v>
          </cell>
          <cell r="D47">
            <v>0.85</v>
          </cell>
          <cell r="E47">
            <v>0.86</v>
          </cell>
          <cell r="F47">
            <v>0.95</v>
          </cell>
          <cell r="G47">
            <v>1</v>
          </cell>
          <cell r="H47">
            <v>1.18</v>
          </cell>
          <cell r="I47">
            <v>1.28</v>
          </cell>
          <cell r="J47">
            <v>1.42</v>
          </cell>
          <cell r="K47">
            <v>1.49</v>
          </cell>
          <cell r="L47">
            <v>1.54</v>
          </cell>
          <cell r="M47">
            <v>1.6</v>
          </cell>
          <cell r="N47">
            <v>1.95</v>
          </cell>
          <cell r="O47">
            <v>2.4</v>
          </cell>
          <cell r="P47" t="e">
            <v>#N/A</v>
          </cell>
          <cell r="Q47">
            <v>2.2000000000000002</v>
          </cell>
        </row>
        <row r="48">
          <cell r="A48" t="str">
            <v>11/28/47</v>
          </cell>
          <cell r="C48">
            <v>0.83</v>
          </cell>
          <cell r="D48">
            <v>0.9</v>
          </cell>
          <cell r="E48">
            <v>0.92</v>
          </cell>
          <cell r="F48">
            <v>1</v>
          </cell>
          <cell r="G48">
            <v>1.04</v>
          </cell>
          <cell r="H48">
            <v>1.22</v>
          </cell>
          <cell r="I48">
            <v>1.31</v>
          </cell>
          <cell r="J48">
            <v>1.47</v>
          </cell>
          <cell r="K48">
            <v>1.55</v>
          </cell>
          <cell r="L48">
            <v>1.64</v>
          </cell>
          <cell r="M48">
            <v>1.74</v>
          </cell>
          <cell r="N48">
            <v>2.0499999999999998</v>
          </cell>
          <cell r="O48">
            <v>2.44</v>
          </cell>
          <cell r="P48" t="e">
            <v>#N/A</v>
          </cell>
          <cell r="Q48">
            <v>2.33</v>
          </cell>
        </row>
        <row r="49">
          <cell r="A49" t="str">
            <v>12/31/47</v>
          </cell>
          <cell r="C49">
            <v>0.87</v>
          </cell>
          <cell r="D49">
            <v>0.91</v>
          </cell>
          <cell r="E49">
            <v>0.94</v>
          </cell>
          <cell r="F49">
            <v>1.03</v>
          </cell>
          <cell r="G49">
            <v>1.08</v>
          </cell>
          <cell r="H49">
            <v>1.2</v>
          </cell>
          <cell r="I49">
            <v>1.27</v>
          </cell>
          <cell r="J49">
            <v>1.51</v>
          </cell>
          <cell r="K49">
            <v>1.63</v>
          </cell>
          <cell r="L49">
            <v>1.82</v>
          </cell>
          <cell r="M49">
            <v>2.04</v>
          </cell>
          <cell r="N49">
            <v>2.21</v>
          </cell>
          <cell r="O49">
            <v>2.34</v>
          </cell>
          <cell r="P49" t="e">
            <v>#N/A</v>
          </cell>
          <cell r="Q49">
            <v>2.4900000000000002</v>
          </cell>
        </row>
        <row r="50">
          <cell r="A50" t="str">
            <v xml:space="preserve"> 1/30/48</v>
          </cell>
          <cell r="C50">
            <v>0.94</v>
          </cell>
          <cell r="D50">
            <v>0.97</v>
          </cell>
          <cell r="E50">
            <v>0.96</v>
          </cell>
          <cell r="F50">
            <v>1.06</v>
          </cell>
          <cell r="G50">
            <v>1.1000000000000001</v>
          </cell>
          <cell r="H50">
            <v>1.22</v>
          </cell>
          <cell r="I50">
            <v>1.27</v>
          </cell>
          <cell r="J50">
            <v>1.51</v>
          </cell>
          <cell r="K50">
            <v>1.64</v>
          </cell>
          <cell r="L50">
            <v>1.82</v>
          </cell>
          <cell r="M50">
            <v>2.04</v>
          </cell>
          <cell r="N50">
            <v>2.21</v>
          </cell>
          <cell r="O50">
            <v>2.35</v>
          </cell>
          <cell r="P50" t="e">
            <v>#N/A</v>
          </cell>
          <cell r="Q50">
            <v>2.4900000000000002</v>
          </cell>
        </row>
        <row r="51">
          <cell r="A51" t="str">
            <v xml:space="preserve"> 2/27/48</v>
          </cell>
          <cell r="C51">
            <v>0.96</v>
          </cell>
          <cell r="D51">
            <v>0.96</v>
          </cell>
          <cell r="E51">
            <v>0.99</v>
          </cell>
          <cell r="F51">
            <v>1.07</v>
          </cell>
          <cell r="G51">
            <v>1.1000000000000001</v>
          </cell>
          <cell r="H51">
            <v>1.2</v>
          </cell>
          <cell r="I51">
            <v>1.25</v>
          </cell>
          <cell r="J51">
            <v>1.51</v>
          </cell>
          <cell r="K51">
            <v>1.64</v>
          </cell>
          <cell r="L51">
            <v>1.8</v>
          </cell>
          <cell r="M51">
            <v>1.99</v>
          </cell>
          <cell r="N51">
            <v>2.19</v>
          </cell>
          <cell r="O51">
            <v>2.38</v>
          </cell>
          <cell r="P51" t="e">
            <v>#N/A</v>
          </cell>
          <cell r="Q51">
            <v>2.4700000000000002</v>
          </cell>
        </row>
        <row r="52">
          <cell r="A52" t="str">
            <v xml:space="preserve"> 3/31/48</v>
          </cell>
          <cell r="C52">
            <v>0.97</v>
          </cell>
          <cell r="D52">
            <v>0.98</v>
          </cell>
          <cell r="E52">
            <v>1.02</v>
          </cell>
          <cell r="F52">
            <v>1.08</v>
          </cell>
          <cell r="G52">
            <v>1.1100000000000001</v>
          </cell>
          <cell r="H52">
            <v>1.21</v>
          </cell>
          <cell r="I52">
            <v>1.27</v>
          </cell>
          <cell r="J52">
            <v>1.51</v>
          </cell>
          <cell r="K52">
            <v>1.62</v>
          </cell>
          <cell r="L52">
            <v>1.78</v>
          </cell>
          <cell r="M52">
            <v>1.96</v>
          </cell>
          <cell r="N52">
            <v>2.1800000000000002</v>
          </cell>
          <cell r="O52">
            <v>2.41</v>
          </cell>
          <cell r="P52" t="e">
            <v>#N/A</v>
          </cell>
          <cell r="Q52">
            <v>2.46</v>
          </cell>
        </row>
        <row r="53">
          <cell r="A53" t="str">
            <v xml:space="preserve"> 4/30/48</v>
          </cell>
          <cell r="C53">
            <v>0.99</v>
          </cell>
          <cell r="D53">
            <v>0.98</v>
          </cell>
          <cell r="E53">
            <v>1.04</v>
          </cell>
          <cell r="F53">
            <v>1.0900000000000001</v>
          </cell>
          <cell r="G53">
            <v>1.1200000000000001</v>
          </cell>
          <cell r="H53">
            <v>1.23</v>
          </cell>
          <cell r="I53">
            <v>1.29</v>
          </cell>
          <cell r="J53">
            <v>1.51</v>
          </cell>
          <cell r="K53">
            <v>1.61</v>
          </cell>
          <cell r="L53">
            <v>1.76</v>
          </cell>
          <cell r="M53">
            <v>1.92</v>
          </cell>
          <cell r="N53">
            <v>2.17</v>
          </cell>
          <cell r="O53">
            <v>2.44</v>
          </cell>
          <cell r="P53" t="e">
            <v>#N/A</v>
          </cell>
          <cell r="Q53">
            <v>2.44</v>
          </cell>
        </row>
        <row r="54">
          <cell r="A54" t="str">
            <v xml:space="preserve"> 5/28/48</v>
          </cell>
          <cell r="C54">
            <v>0.99</v>
          </cell>
          <cell r="D54">
            <v>0.99</v>
          </cell>
          <cell r="E54">
            <v>1.01</v>
          </cell>
          <cell r="F54">
            <v>1.08</v>
          </cell>
          <cell r="G54">
            <v>1.1200000000000001</v>
          </cell>
          <cell r="H54">
            <v>1.17</v>
          </cell>
          <cell r="I54">
            <v>1.2</v>
          </cell>
          <cell r="J54">
            <v>1.41</v>
          </cell>
          <cell r="K54">
            <v>1.51</v>
          </cell>
          <cell r="L54">
            <v>1.64</v>
          </cell>
          <cell r="M54">
            <v>1.78</v>
          </cell>
          <cell r="N54">
            <v>2.09</v>
          </cell>
          <cell r="O54">
            <v>2.44</v>
          </cell>
          <cell r="P54" t="e">
            <v>#N/A</v>
          </cell>
          <cell r="Q54">
            <v>2.35</v>
          </cell>
        </row>
        <row r="55">
          <cell r="A55" t="str">
            <v xml:space="preserve"> 6/30/48</v>
          </cell>
          <cell r="C55">
            <v>0.99</v>
          </cell>
          <cell r="D55">
            <v>0.98</v>
          </cell>
          <cell r="E55">
            <v>1.03</v>
          </cell>
          <cell r="F55">
            <v>1.08</v>
          </cell>
          <cell r="G55">
            <v>1.1000000000000001</v>
          </cell>
          <cell r="H55">
            <v>1.25</v>
          </cell>
          <cell r="I55">
            <v>1.32</v>
          </cell>
          <cell r="J55">
            <v>1.49</v>
          </cell>
          <cell r="K55">
            <v>1.58</v>
          </cell>
          <cell r="L55">
            <v>1.74</v>
          </cell>
          <cell r="M55">
            <v>1.92</v>
          </cell>
          <cell r="N55">
            <v>2.19</v>
          </cell>
          <cell r="O55">
            <v>2.46</v>
          </cell>
          <cell r="P55" t="e">
            <v>#N/A</v>
          </cell>
          <cell r="Q55">
            <v>2.42</v>
          </cell>
        </row>
        <row r="56">
          <cell r="A56" t="str">
            <v xml:space="preserve"> 7/30/48</v>
          </cell>
          <cell r="C56">
            <v>0.99</v>
          </cell>
          <cell r="D56">
            <v>0.99</v>
          </cell>
          <cell r="E56">
            <v>1.01</v>
          </cell>
          <cell r="F56">
            <v>1.0900000000000001</v>
          </cell>
          <cell r="G56">
            <v>1.1399999999999999</v>
          </cell>
          <cell r="H56">
            <v>1.25</v>
          </cell>
          <cell r="I56">
            <v>1.3</v>
          </cell>
          <cell r="J56">
            <v>1.55</v>
          </cell>
          <cell r="K56">
            <v>1.67</v>
          </cell>
          <cell r="L56">
            <v>1.82</v>
          </cell>
          <cell r="M56">
            <v>1.99</v>
          </cell>
          <cell r="N56">
            <v>2.21</v>
          </cell>
          <cell r="O56">
            <v>2.42</v>
          </cell>
          <cell r="P56" t="e">
            <v>#N/A</v>
          </cell>
          <cell r="Q56">
            <v>2.4500000000000002</v>
          </cell>
        </row>
        <row r="57">
          <cell r="A57" t="str">
            <v xml:space="preserve"> 8/31/48</v>
          </cell>
          <cell r="C57">
            <v>1.01</v>
          </cell>
          <cell r="D57">
            <v>0.94</v>
          </cell>
          <cell r="E57">
            <v>1.1299999999999999</v>
          </cell>
          <cell r="F57">
            <v>1.1599999999999999</v>
          </cell>
          <cell r="G57">
            <v>1.17</v>
          </cell>
          <cell r="H57">
            <v>1.27</v>
          </cell>
          <cell r="I57">
            <v>1.32</v>
          </cell>
          <cell r="J57">
            <v>1.59</v>
          </cell>
          <cell r="K57">
            <v>1.73</v>
          </cell>
          <cell r="L57">
            <v>1.87</v>
          </cell>
          <cell r="M57">
            <v>2.0299999999999998</v>
          </cell>
          <cell r="N57">
            <v>2.2200000000000002</v>
          </cell>
          <cell r="O57">
            <v>2.4</v>
          </cell>
          <cell r="P57" t="e">
            <v>#N/A</v>
          </cell>
          <cell r="Q57">
            <v>2.4700000000000002</v>
          </cell>
        </row>
        <row r="58">
          <cell r="A58" t="str">
            <v xml:space="preserve"> 9/30/48</v>
          </cell>
          <cell r="C58">
            <v>0.56999999999999995</v>
          </cell>
          <cell r="D58">
            <v>1.06</v>
          </cell>
          <cell r="E58">
            <v>1.1399999999999999</v>
          </cell>
          <cell r="F58">
            <v>1.21</v>
          </cell>
          <cell r="G58">
            <v>1.24</v>
          </cell>
          <cell r="H58">
            <v>1.35</v>
          </cell>
          <cell r="I58">
            <v>1.4</v>
          </cell>
          <cell r="J58">
            <v>1.62</v>
          </cell>
          <cell r="K58">
            <v>1.74</v>
          </cell>
          <cell r="L58">
            <v>1.89</v>
          </cell>
          <cell r="M58">
            <v>2.06</v>
          </cell>
          <cell r="N58">
            <v>2.19</v>
          </cell>
          <cell r="O58">
            <v>2.2799999999999998</v>
          </cell>
          <cell r="P58" t="e">
            <v>#N/A</v>
          </cell>
          <cell r="Q58">
            <v>2.4900000000000002</v>
          </cell>
        </row>
        <row r="59">
          <cell r="A59" t="str">
            <v>10/29/48</v>
          </cell>
          <cell r="C59">
            <v>1.06</v>
          </cell>
          <cell r="D59">
            <v>0.98</v>
          </cell>
          <cell r="E59">
            <v>1.1399999999999999</v>
          </cell>
          <cell r="F59">
            <v>1.23</v>
          </cell>
          <cell r="G59">
            <v>1.28</v>
          </cell>
          <cell r="H59">
            <v>1.39</v>
          </cell>
          <cell r="I59">
            <v>1.45</v>
          </cell>
          <cell r="J59">
            <v>1.65</v>
          </cell>
          <cell r="K59">
            <v>1.76</v>
          </cell>
          <cell r="L59">
            <v>1.91</v>
          </cell>
          <cell r="M59">
            <v>2.09</v>
          </cell>
          <cell r="N59">
            <v>2.2200000000000002</v>
          </cell>
          <cell r="O59">
            <v>2.3199999999999998</v>
          </cell>
          <cell r="P59" t="e">
            <v>#N/A</v>
          </cell>
          <cell r="Q59">
            <v>2.4900000000000002</v>
          </cell>
        </row>
        <row r="60">
          <cell r="A60" t="str">
            <v>11/30/48</v>
          </cell>
          <cell r="C60">
            <v>0.63</v>
          </cell>
          <cell r="D60">
            <v>1.08</v>
          </cell>
          <cell r="E60">
            <v>1.1100000000000001</v>
          </cell>
          <cell r="F60">
            <v>1.21</v>
          </cell>
          <cell r="G60">
            <v>1.25</v>
          </cell>
          <cell r="H60">
            <v>1.35</v>
          </cell>
          <cell r="I60">
            <v>1.4</v>
          </cell>
          <cell r="J60">
            <v>1.6</v>
          </cell>
          <cell r="K60">
            <v>1.71</v>
          </cell>
          <cell r="L60">
            <v>1.86</v>
          </cell>
          <cell r="M60">
            <v>2.04</v>
          </cell>
          <cell r="N60">
            <v>2.17</v>
          </cell>
          <cell r="O60">
            <v>2.27</v>
          </cell>
          <cell r="P60" t="e">
            <v>#N/A</v>
          </cell>
          <cell r="Q60">
            <v>2.46</v>
          </cell>
        </row>
        <row r="61">
          <cell r="A61" t="str">
            <v>12/31/48</v>
          </cell>
          <cell r="C61">
            <v>1.1100000000000001</v>
          </cell>
          <cell r="D61">
            <v>1.1200000000000001</v>
          </cell>
          <cell r="E61">
            <v>1.18</v>
          </cell>
          <cell r="F61">
            <v>1.21</v>
          </cell>
          <cell r="G61">
            <v>1.22</v>
          </cell>
          <cell r="H61">
            <v>1.34</v>
          </cell>
          <cell r="I61">
            <v>1.4</v>
          </cell>
          <cell r="J61">
            <v>1.55</v>
          </cell>
          <cell r="K61">
            <v>1.62</v>
          </cell>
          <cell r="L61">
            <v>1.79</v>
          </cell>
          <cell r="M61">
            <v>1.99</v>
          </cell>
          <cell r="N61">
            <v>2.14</v>
          </cell>
          <cell r="O61">
            <v>2.2599999999999998</v>
          </cell>
          <cell r="P61" t="e">
            <v>#N/A</v>
          </cell>
          <cell r="Q61">
            <v>2.4300000000000002</v>
          </cell>
        </row>
        <row r="62">
          <cell r="A62" t="str">
            <v xml:space="preserve"> 1/31/49</v>
          </cell>
          <cell r="C62">
            <v>1.1399999999999999</v>
          </cell>
          <cell r="D62">
            <v>1.1599999999999999</v>
          </cell>
          <cell r="E62">
            <v>1.19</v>
          </cell>
          <cell r="F62">
            <v>1.21</v>
          </cell>
          <cell r="G62">
            <v>1.23</v>
          </cell>
          <cell r="H62">
            <v>1.34</v>
          </cell>
          <cell r="I62">
            <v>1.4</v>
          </cell>
          <cell r="J62">
            <v>1.49</v>
          </cell>
          <cell r="K62">
            <v>1.54</v>
          </cell>
          <cell r="L62">
            <v>1.73</v>
          </cell>
          <cell r="M62">
            <v>1.94</v>
          </cell>
          <cell r="N62">
            <v>2.09</v>
          </cell>
          <cell r="O62">
            <v>2.2200000000000002</v>
          </cell>
          <cell r="P62" t="e">
            <v>#N/A</v>
          </cell>
          <cell r="Q62">
            <v>2.39</v>
          </cell>
        </row>
        <row r="63">
          <cell r="A63" t="str">
            <v xml:space="preserve"> 2/28/49</v>
          </cell>
          <cell r="C63">
            <v>1.1200000000000001</v>
          </cell>
          <cell r="D63">
            <v>1.1499999999999999</v>
          </cell>
          <cell r="E63">
            <v>1.19</v>
          </cell>
          <cell r="F63">
            <v>1.21</v>
          </cell>
          <cell r="G63">
            <v>1.22</v>
          </cell>
          <cell r="H63">
            <v>1.34</v>
          </cell>
          <cell r="I63">
            <v>1.4</v>
          </cell>
          <cell r="J63">
            <v>1.51</v>
          </cell>
          <cell r="K63">
            <v>1.56</v>
          </cell>
          <cell r="L63">
            <v>1.74</v>
          </cell>
          <cell r="M63">
            <v>1.93</v>
          </cell>
          <cell r="N63">
            <v>2.08</v>
          </cell>
          <cell r="O63">
            <v>2.2000000000000002</v>
          </cell>
          <cell r="P63" t="e">
            <v>#N/A</v>
          </cell>
          <cell r="Q63">
            <v>2.37</v>
          </cell>
        </row>
        <row r="64">
          <cell r="A64" t="str">
            <v xml:space="preserve"> 3/31/49</v>
          </cell>
          <cell r="C64">
            <v>1.1299999999999999</v>
          </cell>
          <cell r="D64">
            <v>1.17</v>
          </cell>
          <cell r="E64">
            <v>1.18</v>
          </cell>
          <cell r="F64">
            <v>1.21</v>
          </cell>
          <cell r="G64">
            <v>1.23</v>
          </cell>
          <cell r="H64">
            <v>1.36</v>
          </cell>
          <cell r="I64">
            <v>1.42</v>
          </cell>
          <cell r="J64">
            <v>1.46</v>
          </cell>
          <cell r="K64">
            <v>1.48</v>
          </cell>
          <cell r="L64">
            <v>1.67</v>
          </cell>
          <cell r="M64">
            <v>1.88</v>
          </cell>
          <cell r="N64">
            <v>2.04</v>
          </cell>
          <cell r="O64">
            <v>2.16</v>
          </cell>
          <cell r="P64" t="e">
            <v>#N/A</v>
          </cell>
          <cell r="Q64">
            <v>2.33</v>
          </cell>
        </row>
        <row r="65">
          <cell r="A65" t="str">
            <v xml:space="preserve"> 4/29/49</v>
          </cell>
          <cell r="C65">
            <v>1.1299999999999999</v>
          </cell>
          <cell r="D65">
            <v>1.1599999999999999</v>
          </cell>
          <cell r="E65">
            <v>1.17</v>
          </cell>
          <cell r="F65">
            <v>1.18</v>
          </cell>
          <cell r="G65">
            <v>1.18</v>
          </cell>
          <cell r="H65">
            <v>1.32</v>
          </cell>
          <cell r="I65">
            <v>1.39</v>
          </cell>
          <cell r="J65">
            <v>1.44</v>
          </cell>
          <cell r="K65">
            <v>1.47</v>
          </cell>
          <cell r="L65">
            <v>1.66</v>
          </cell>
          <cell r="M65">
            <v>1.87</v>
          </cell>
          <cell r="N65">
            <v>2.0299999999999998</v>
          </cell>
          <cell r="O65">
            <v>2.16</v>
          </cell>
          <cell r="P65" t="e">
            <v>#N/A</v>
          </cell>
          <cell r="Q65">
            <v>2.34</v>
          </cell>
        </row>
        <row r="66">
          <cell r="A66" t="str">
            <v xml:space="preserve"> 5/31/49</v>
          </cell>
          <cell r="C66">
            <v>1.1200000000000001</v>
          </cell>
          <cell r="D66">
            <v>1.1499999999999999</v>
          </cell>
          <cell r="E66">
            <v>1.17</v>
          </cell>
          <cell r="F66">
            <v>1.19</v>
          </cell>
          <cell r="G66">
            <v>1.2</v>
          </cell>
          <cell r="H66">
            <v>1.33</v>
          </cell>
          <cell r="I66">
            <v>1.4</v>
          </cell>
          <cell r="J66">
            <v>1.4</v>
          </cell>
          <cell r="K66">
            <v>1.41</v>
          </cell>
          <cell r="L66">
            <v>1.61</v>
          </cell>
          <cell r="M66">
            <v>1.85</v>
          </cell>
          <cell r="N66">
            <v>2.0299999999999998</v>
          </cell>
          <cell r="O66">
            <v>2.16</v>
          </cell>
          <cell r="P66" t="e">
            <v>#N/A</v>
          </cell>
          <cell r="Q66">
            <v>2.34</v>
          </cell>
        </row>
        <row r="67">
          <cell r="A67" t="str">
            <v xml:space="preserve"> 6/30/49</v>
          </cell>
          <cell r="C67">
            <v>1.06</v>
          </cell>
          <cell r="D67">
            <v>1.08</v>
          </cell>
          <cell r="E67">
            <v>1.1000000000000001</v>
          </cell>
          <cell r="F67">
            <v>1.1100000000000001</v>
          </cell>
          <cell r="G67">
            <v>1.1100000000000001</v>
          </cell>
          <cell r="H67">
            <v>1.26</v>
          </cell>
          <cell r="I67">
            <v>1.33</v>
          </cell>
          <cell r="J67">
            <v>1.25</v>
          </cell>
          <cell r="K67">
            <v>1.2</v>
          </cell>
          <cell r="L67">
            <v>1.45</v>
          </cell>
          <cell r="M67">
            <v>1.73</v>
          </cell>
          <cell r="N67">
            <v>1.94</v>
          </cell>
          <cell r="O67">
            <v>2.11</v>
          </cell>
          <cell r="P67" t="e">
            <v>#N/A</v>
          </cell>
          <cell r="Q67">
            <v>2.2400000000000002</v>
          </cell>
        </row>
        <row r="68">
          <cell r="A68" t="str">
            <v xml:space="preserve"> 7/29/49</v>
          </cell>
          <cell r="C68">
            <v>1</v>
          </cell>
          <cell r="D68">
            <v>1.01</v>
          </cell>
          <cell r="E68">
            <v>1.03</v>
          </cell>
          <cell r="F68">
            <v>1.03</v>
          </cell>
          <cell r="G68">
            <v>1.03</v>
          </cell>
          <cell r="H68">
            <v>1.19</v>
          </cell>
          <cell r="I68">
            <v>1.27</v>
          </cell>
          <cell r="J68">
            <v>1.19</v>
          </cell>
          <cell r="K68">
            <v>1.1499999999999999</v>
          </cell>
          <cell r="L68">
            <v>1.41</v>
          </cell>
          <cell r="M68">
            <v>1.7</v>
          </cell>
          <cell r="N68">
            <v>1.92</v>
          </cell>
          <cell r="O68">
            <v>2.09</v>
          </cell>
          <cell r="P68" t="e">
            <v>#N/A</v>
          </cell>
          <cell r="Q68">
            <v>2.23</v>
          </cell>
        </row>
        <row r="69">
          <cell r="A69" t="str">
            <v xml:space="preserve"> 8/31/49</v>
          </cell>
          <cell r="C69">
            <v>1.02</v>
          </cell>
          <cell r="D69">
            <v>1.03</v>
          </cell>
          <cell r="E69">
            <v>1.05</v>
          </cell>
          <cell r="F69">
            <v>1.04</v>
          </cell>
          <cell r="G69">
            <v>1.04</v>
          </cell>
          <cell r="H69">
            <v>1.1599999999999999</v>
          </cell>
          <cell r="I69">
            <v>1.23</v>
          </cell>
          <cell r="J69">
            <v>1.1599999999999999</v>
          </cell>
          <cell r="K69">
            <v>1.1299999999999999</v>
          </cell>
          <cell r="L69">
            <v>1.37</v>
          </cell>
          <cell r="M69">
            <v>1.64</v>
          </cell>
          <cell r="N69">
            <v>1.84</v>
          </cell>
          <cell r="O69">
            <v>2</v>
          </cell>
          <cell r="P69" t="e">
            <v>#N/A</v>
          </cell>
          <cell r="Q69">
            <v>2.17</v>
          </cell>
        </row>
        <row r="70">
          <cell r="A70" t="str">
            <v xml:space="preserve"> 9/30/49</v>
          </cell>
          <cell r="C70">
            <v>1.04</v>
          </cell>
          <cell r="D70">
            <v>1.05</v>
          </cell>
          <cell r="E70">
            <v>1.08</v>
          </cell>
          <cell r="F70">
            <v>1.07</v>
          </cell>
          <cell r="G70">
            <v>1.07</v>
          </cell>
          <cell r="H70">
            <v>1.19</v>
          </cell>
          <cell r="I70">
            <v>1.25</v>
          </cell>
          <cell r="J70">
            <v>1.1599999999999999</v>
          </cell>
          <cell r="K70">
            <v>1.1100000000000001</v>
          </cell>
          <cell r="L70">
            <v>1.37</v>
          </cell>
          <cell r="M70">
            <v>1.66</v>
          </cell>
          <cell r="N70">
            <v>1.88</v>
          </cell>
          <cell r="O70">
            <v>2.0499999999999998</v>
          </cell>
          <cell r="P70" t="e">
            <v>#N/A</v>
          </cell>
          <cell r="Q70">
            <v>2.1800000000000002</v>
          </cell>
        </row>
        <row r="71">
          <cell r="A71" t="str">
            <v>10/31/49</v>
          </cell>
          <cell r="C71">
            <v>1.02</v>
          </cell>
          <cell r="D71">
            <v>1.06</v>
          </cell>
          <cell r="E71">
            <v>1.0900000000000001</v>
          </cell>
          <cell r="F71">
            <v>1.08</v>
          </cell>
          <cell r="G71">
            <v>1.07</v>
          </cell>
          <cell r="H71">
            <v>1.2</v>
          </cell>
          <cell r="I71">
            <v>1.27</v>
          </cell>
          <cell r="J71">
            <v>1.1499999999999999</v>
          </cell>
          <cell r="K71">
            <v>1.1000000000000001</v>
          </cell>
          <cell r="L71">
            <v>1.36</v>
          </cell>
          <cell r="M71">
            <v>1.66</v>
          </cell>
          <cell r="N71">
            <v>1.88</v>
          </cell>
          <cell r="O71">
            <v>2.06</v>
          </cell>
          <cell r="P71" t="e">
            <v>#N/A</v>
          </cell>
          <cell r="Q71">
            <v>2.1800000000000002</v>
          </cell>
        </row>
        <row r="72">
          <cell r="A72" t="str">
            <v>11/30/49</v>
          </cell>
          <cell r="C72">
            <v>1.04</v>
          </cell>
          <cell r="D72">
            <v>1.1000000000000001</v>
          </cell>
          <cell r="E72">
            <v>1.1100000000000001</v>
          </cell>
          <cell r="F72">
            <v>1.0900000000000001</v>
          </cell>
          <cell r="G72">
            <v>1.08</v>
          </cell>
          <cell r="H72">
            <v>1.23</v>
          </cell>
          <cell r="I72">
            <v>1.3</v>
          </cell>
          <cell r="J72">
            <v>1.1499999999999999</v>
          </cell>
          <cell r="K72">
            <v>1.07</v>
          </cell>
          <cell r="L72">
            <v>1.34</v>
          </cell>
          <cell r="M72">
            <v>1.65</v>
          </cell>
          <cell r="N72">
            <v>1.88</v>
          </cell>
          <cell r="O72">
            <v>2.06</v>
          </cell>
          <cell r="P72" t="e">
            <v>#N/A</v>
          </cell>
          <cell r="Q72">
            <v>2.1800000000000002</v>
          </cell>
        </row>
        <row r="73">
          <cell r="A73" t="str">
            <v>12/30/49</v>
          </cell>
          <cell r="C73">
            <v>1.05</v>
          </cell>
          <cell r="D73">
            <v>1.08</v>
          </cell>
          <cell r="E73">
            <v>1.1000000000000001</v>
          </cell>
          <cell r="F73">
            <v>1.0900000000000001</v>
          </cell>
          <cell r="G73">
            <v>1.08</v>
          </cell>
          <cell r="H73">
            <v>1.19</v>
          </cell>
          <cell r="I73">
            <v>1.24</v>
          </cell>
          <cell r="J73">
            <v>1.21</v>
          </cell>
          <cell r="K73">
            <v>1.2</v>
          </cell>
          <cell r="L73">
            <v>1.41</v>
          </cell>
          <cell r="M73">
            <v>1.65</v>
          </cell>
          <cell r="N73">
            <v>1.83</v>
          </cell>
          <cell r="O73">
            <v>1.97</v>
          </cell>
          <cell r="P73" t="e">
            <v>#N/A</v>
          </cell>
          <cell r="Q73">
            <v>2.16</v>
          </cell>
        </row>
        <row r="74">
          <cell r="A74" t="str">
            <v xml:space="preserve"> 1/31/50</v>
          </cell>
          <cell r="C74">
            <v>1.1000000000000001</v>
          </cell>
          <cell r="D74">
            <v>1.1200000000000001</v>
          </cell>
          <cell r="E74">
            <v>1.1100000000000001</v>
          </cell>
          <cell r="F74">
            <v>1.1100000000000001</v>
          </cell>
          <cell r="G74">
            <v>1.1000000000000001</v>
          </cell>
          <cell r="H74">
            <v>1.23</v>
          </cell>
          <cell r="I74">
            <v>1.3</v>
          </cell>
          <cell r="J74">
            <v>1.28</v>
          </cell>
          <cell r="K74">
            <v>1.27</v>
          </cell>
          <cell r="L74">
            <v>1.48</v>
          </cell>
          <cell r="M74">
            <v>1.73</v>
          </cell>
          <cell r="N74">
            <v>1.92</v>
          </cell>
          <cell r="O74">
            <v>2.0699999999999998</v>
          </cell>
          <cell r="P74" t="e">
            <v>#N/A</v>
          </cell>
          <cell r="Q74">
            <v>2.21</v>
          </cell>
        </row>
        <row r="75">
          <cell r="A75" t="str">
            <v xml:space="preserve"> 2/28/50</v>
          </cell>
          <cell r="C75">
            <v>1.1299999999999999</v>
          </cell>
          <cell r="D75">
            <v>1.1399999999999999</v>
          </cell>
          <cell r="E75">
            <v>1.1200000000000001</v>
          </cell>
          <cell r="F75">
            <v>1.1399999999999999</v>
          </cell>
          <cell r="G75">
            <v>1.1499999999999999</v>
          </cell>
          <cell r="H75">
            <v>1.25</v>
          </cell>
          <cell r="I75">
            <v>1.31</v>
          </cell>
          <cell r="J75">
            <v>1.29</v>
          </cell>
          <cell r="K75">
            <v>1.29</v>
          </cell>
          <cell r="L75">
            <v>1.51</v>
          </cell>
          <cell r="M75">
            <v>1.76</v>
          </cell>
          <cell r="N75">
            <v>1.94</v>
          </cell>
          <cell r="O75">
            <v>2.09</v>
          </cell>
          <cell r="P75" t="e">
            <v>#N/A</v>
          </cell>
          <cell r="Q75">
            <v>2.2000000000000002</v>
          </cell>
        </row>
        <row r="76">
          <cell r="A76" t="str">
            <v xml:space="preserve"> 3/31/50</v>
          </cell>
          <cell r="C76">
            <v>1.1200000000000001</v>
          </cell>
          <cell r="D76">
            <v>1.1499999999999999</v>
          </cell>
          <cell r="E76">
            <v>1.1499999999999999</v>
          </cell>
          <cell r="F76">
            <v>1.1299999999999999</v>
          </cell>
          <cell r="G76">
            <v>1.1200000000000001</v>
          </cell>
          <cell r="H76">
            <v>1.28</v>
          </cell>
          <cell r="I76">
            <v>1.36</v>
          </cell>
          <cell r="J76">
            <v>1.32</v>
          </cell>
          <cell r="K76">
            <v>1.29</v>
          </cell>
          <cell r="L76">
            <v>1.52</v>
          </cell>
          <cell r="M76">
            <v>1.77</v>
          </cell>
          <cell r="N76">
            <v>1.97</v>
          </cell>
          <cell r="O76">
            <v>2.12</v>
          </cell>
          <cell r="P76" t="e">
            <v>#N/A</v>
          </cell>
          <cell r="Q76">
            <v>2.2000000000000002</v>
          </cell>
        </row>
        <row r="77">
          <cell r="A77" t="str">
            <v xml:space="preserve"> 4/28/50</v>
          </cell>
          <cell r="C77">
            <v>1.1499999999999999</v>
          </cell>
          <cell r="D77">
            <v>1.17</v>
          </cell>
          <cell r="E77">
            <v>1.18</v>
          </cell>
          <cell r="F77">
            <v>1.1499999999999999</v>
          </cell>
          <cell r="G77">
            <v>1.1399999999999999</v>
          </cell>
          <cell r="H77">
            <v>1.31</v>
          </cell>
          <cell r="I77">
            <v>1.39</v>
          </cell>
          <cell r="J77">
            <v>1.35</v>
          </cell>
          <cell r="K77">
            <v>1.32</v>
          </cell>
          <cell r="L77">
            <v>1.55</v>
          </cell>
          <cell r="M77">
            <v>1.82</v>
          </cell>
          <cell r="N77">
            <v>2.02</v>
          </cell>
          <cell r="O77">
            <v>2.17</v>
          </cell>
          <cell r="P77" t="e">
            <v>#N/A</v>
          </cell>
          <cell r="Q77">
            <v>2.1800000000000002</v>
          </cell>
        </row>
        <row r="78">
          <cell r="A78" t="str">
            <v xml:space="preserve"> 5/31/50</v>
          </cell>
          <cell r="C78">
            <v>1.1599999999999999</v>
          </cell>
          <cell r="D78">
            <v>1.1599999999999999</v>
          </cell>
          <cell r="E78">
            <v>1.17</v>
          </cell>
          <cell r="F78">
            <v>1.19</v>
          </cell>
          <cell r="G78">
            <v>1.2</v>
          </cell>
          <cell r="H78">
            <v>1.3</v>
          </cell>
          <cell r="I78">
            <v>1.35</v>
          </cell>
          <cell r="J78">
            <v>1.32</v>
          </cell>
          <cell r="K78">
            <v>1.3</v>
          </cell>
          <cell r="L78">
            <v>1.54</v>
          </cell>
          <cell r="M78">
            <v>1.82</v>
          </cell>
          <cell r="N78">
            <v>2.0299999999999998</v>
          </cell>
          <cell r="O78">
            <v>2.19</v>
          </cell>
          <cell r="P78" t="e">
            <v>#N/A</v>
          </cell>
          <cell r="Q78">
            <v>2.17</v>
          </cell>
        </row>
        <row r="79">
          <cell r="A79" t="str">
            <v xml:space="preserve"> 6/30/50</v>
          </cell>
          <cell r="C79">
            <v>1.1599999999999999</v>
          </cell>
          <cell r="D79">
            <v>1.1399999999999999</v>
          </cell>
          <cell r="E79">
            <v>1.19</v>
          </cell>
          <cell r="F79">
            <v>1.2</v>
          </cell>
          <cell r="G79">
            <v>1.21</v>
          </cell>
          <cell r="H79">
            <v>1.33</v>
          </cell>
          <cell r="I79">
            <v>1.38</v>
          </cell>
          <cell r="J79">
            <v>1.35</v>
          </cell>
          <cell r="K79">
            <v>1.33</v>
          </cell>
          <cell r="L79">
            <v>1.58</v>
          </cell>
          <cell r="M79">
            <v>1.87</v>
          </cell>
          <cell r="N79">
            <v>2.09</v>
          </cell>
          <cell r="O79">
            <v>2.2599999999999998</v>
          </cell>
          <cell r="P79" t="e">
            <v>#N/A</v>
          </cell>
          <cell r="Q79">
            <v>2.19</v>
          </cell>
        </row>
        <row r="80">
          <cell r="A80" t="str">
            <v xml:space="preserve"> 7/31/50</v>
          </cell>
          <cell r="C80">
            <v>1.1499999999999999</v>
          </cell>
          <cell r="D80">
            <v>1.17</v>
          </cell>
          <cell r="E80">
            <v>1.17</v>
          </cell>
          <cell r="F80">
            <v>1.21</v>
          </cell>
          <cell r="G80">
            <v>1.23</v>
          </cell>
          <cell r="H80">
            <v>1.32</v>
          </cell>
          <cell r="I80">
            <v>1.36</v>
          </cell>
          <cell r="J80">
            <v>1.3</v>
          </cell>
          <cell r="K80">
            <v>1.27</v>
          </cell>
          <cell r="L80">
            <v>1.54</v>
          </cell>
          <cell r="M80">
            <v>1.86</v>
          </cell>
          <cell r="N80">
            <v>2.09</v>
          </cell>
          <cell r="O80">
            <v>2.27</v>
          </cell>
          <cell r="P80" t="e">
            <v>#N/A</v>
          </cell>
          <cell r="Q80">
            <v>2.16</v>
          </cell>
        </row>
        <row r="81">
          <cell r="A81" t="str">
            <v xml:space="preserve"> 8/31/50</v>
          </cell>
          <cell r="C81">
            <v>1.28</v>
          </cell>
          <cell r="D81">
            <v>1.3</v>
          </cell>
          <cell r="E81">
            <v>1.28</v>
          </cell>
          <cell r="F81">
            <v>1.31</v>
          </cell>
          <cell r="G81">
            <v>1.33</v>
          </cell>
          <cell r="H81">
            <v>1.43</v>
          </cell>
          <cell r="I81">
            <v>1.48</v>
          </cell>
          <cell r="J81">
            <v>1.36</v>
          </cell>
          <cell r="K81">
            <v>1.3</v>
          </cell>
          <cell r="L81">
            <v>1.56</v>
          </cell>
          <cell r="M81">
            <v>1.86</v>
          </cell>
          <cell r="N81">
            <v>2.09</v>
          </cell>
          <cell r="O81">
            <v>2.27</v>
          </cell>
          <cell r="P81" t="e">
            <v>#N/A</v>
          </cell>
          <cell r="Q81">
            <v>2.16</v>
          </cell>
        </row>
        <row r="82">
          <cell r="A82" t="str">
            <v xml:space="preserve"> 9/29/50</v>
          </cell>
          <cell r="C82">
            <v>1.31</v>
          </cell>
          <cell r="D82">
            <v>1.33</v>
          </cell>
          <cell r="E82">
            <v>1.34</v>
          </cell>
          <cell r="F82">
            <v>1.35</v>
          </cell>
          <cell r="G82">
            <v>1.35</v>
          </cell>
          <cell r="H82">
            <v>1.5</v>
          </cell>
          <cell r="I82">
            <v>1.58</v>
          </cell>
          <cell r="J82">
            <v>1.47</v>
          </cell>
          <cell r="K82">
            <v>1.42</v>
          </cell>
          <cell r="L82">
            <v>1.66</v>
          </cell>
          <cell r="M82">
            <v>1.93</v>
          </cell>
          <cell r="N82">
            <v>2.13</v>
          </cell>
          <cell r="O82">
            <v>2.29</v>
          </cell>
          <cell r="P82" t="e">
            <v>#N/A</v>
          </cell>
          <cell r="Q82">
            <v>2.23</v>
          </cell>
        </row>
        <row r="83">
          <cell r="A83" t="str">
            <v>10/31/50</v>
          </cell>
          <cell r="C83">
            <v>1.28</v>
          </cell>
          <cell r="D83">
            <v>1.36</v>
          </cell>
          <cell r="E83">
            <v>1.41</v>
          </cell>
          <cell r="F83">
            <v>1.47</v>
          </cell>
          <cell r="G83">
            <v>1.5</v>
          </cell>
          <cell r="H83">
            <v>1.61</v>
          </cell>
          <cell r="I83">
            <v>1.67</v>
          </cell>
          <cell r="J83">
            <v>1.58</v>
          </cell>
          <cell r="K83">
            <v>1.53</v>
          </cell>
          <cell r="L83">
            <v>1.75</v>
          </cell>
          <cell r="M83">
            <v>2</v>
          </cell>
          <cell r="N83">
            <v>2.1800000000000002</v>
          </cell>
          <cell r="O83">
            <v>2.33</v>
          </cell>
          <cell r="P83" t="e">
            <v>#N/A</v>
          </cell>
          <cell r="Q83">
            <v>2.2799999999999998</v>
          </cell>
        </row>
        <row r="84">
          <cell r="A84" t="str">
            <v>11/30/50</v>
          </cell>
          <cell r="C84">
            <v>1.35</v>
          </cell>
          <cell r="D84">
            <v>1.4</v>
          </cell>
          <cell r="E84">
            <v>1.43</v>
          </cell>
          <cell r="F84">
            <v>1.48</v>
          </cell>
          <cell r="G84">
            <v>1.5</v>
          </cell>
          <cell r="H84">
            <v>1.58</v>
          </cell>
          <cell r="I84">
            <v>1.62</v>
          </cell>
          <cell r="J84">
            <v>1.56</v>
          </cell>
          <cell r="K84">
            <v>1.53</v>
          </cell>
          <cell r="L84">
            <v>1.76</v>
          </cell>
          <cell r="M84">
            <v>2.02</v>
          </cell>
          <cell r="N84">
            <v>2.2200000000000002</v>
          </cell>
          <cell r="O84">
            <v>2.37</v>
          </cell>
          <cell r="P84" t="e">
            <v>#N/A</v>
          </cell>
          <cell r="Q84">
            <v>2.2599999999999998</v>
          </cell>
        </row>
        <row r="85">
          <cell r="A85" t="str">
            <v>12/29/50</v>
          </cell>
          <cell r="C85">
            <v>1.34</v>
          </cell>
          <cell r="D85">
            <v>1.31</v>
          </cell>
          <cell r="E85">
            <v>1.47</v>
          </cell>
          <cell r="F85">
            <v>1.53</v>
          </cell>
          <cell r="G85">
            <v>1.56</v>
          </cell>
          <cell r="H85">
            <v>1.57</v>
          </cell>
          <cell r="I85">
            <v>1.58</v>
          </cell>
          <cell r="J85">
            <v>1.59</v>
          </cell>
          <cell r="K85">
            <v>1.59</v>
          </cell>
          <cell r="L85">
            <v>1.8</v>
          </cell>
          <cell r="M85">
            <v>2.0299999999999998</v>
          </cell>
          <cell r="N85">
            <v>2.21</v>
          </cell>
          <cell r="O85">
            <v>2.35</v>
          </cell>
          <cell r="P85" t="e">
            <v>#N/A</v>
          </cell>
          <cell r="Q85">
            <v>2.2599999999999998</v>
          </cell>
        </row>
        <row r="86">
          <cell r="A86" t="str">
            <v xml:space="preserve"> 1/31/51</v>
          </cell>
          <cell r="C86">
            <v>1.34</v>
          </cell>
          <cell r="D86">
            <v>1.38</v>
          </cell>
          <cell r="E86">
            <v>1.44</v>
          </cell>
          <cell r="F86">
            <v>1.55</v>
          </cell>
          <cell r="G86">
            <v>1.6</v>
          </cell>
          <cell r="H86">
            <v>1.62</v>
          </cell>
          <cell r="I86">
            <v>1.62</v>
          </cell>
          <cell r="J86">
            <v>1.63</v>
          </cell>
          <cell r="K86">
            <v>1.64</v>
          </cell>
          <cell r="L86">
            <v>1.81</v>
          </cell>
          <cell r="M86">
            <v>2</v>
          </cell>
          <cell r="N86">
            <v>2.15</v>
          </cell>
          <cell r="O86">
            <v>2.27</v>
          </cell>
          <cell r="P86" t="e">
            <v>#N/A</v>
          </cell>
          <cell r="Q86">
            <v>2.2400000000000002</v>
          </cell>
        </row>
        <row r="87">
          <cell r="A87" t="str">
            <v xml:space="preserve"> 2/28/51</v>
          </cell>
          <cell r="C87">
            <v>1.31</v>
          </cell>
          <cell r="D87">
            <v>1.41</v>
          </cell>
          <cell r="E87">
            <v>1.43</v>
          </cell>
          <cell r="F87">
            <v>1.56</v>
          </cell>
          <cell r="G87">
            <v>1.62</v>
          </cell>
          <cell r="H87">
            <v>1.64</v>
          </cell>
          <cell r="I87">
            <v>1.64</v>
          </cell>
          <cell r="J87">
            <v>1.65</v>
          </cell>
          <cell r="K87">
            <v>1.65</v>
          </cell>
          <cell r="L87">
            <v>1.84</v>
          </cell>
          <cell r="M87">
            <v>2.06</v>
          </cell>
          <cell r="N87">
            <v>2.2200000000000002</v>
          </cell>
          <cell r="O87">
            <v>2.35</v>
          </cell>
          <cell r="P87" t="e">
            <v>#N/A</v>
          </cell>
          <cell r="Q87">
            <v>2.31</v>
          </cell>
        </row>
        <row r="88">
          <cell r="A88" t="str">
            <v xml:space="preserve"> 3/30/51</v>
          </cell>
          <cell r="C88">
            <v>1.49</v>
          </cell>
          <cell r="D88">
            <v>1.52</v>
          </cell>
          <cell r="E88">
            <v>1.48</v>
          </cell>
          <cell r="F88">
            <v>1.8</v>
          </cell>
          <cell r="G88">
            <v>1.96</v>
          </cell>
          <cell r="H88">
            <v>2.02</v>
          </cell>
          <cell r="I88">
            <v>2.0499999999999998</v>
          </cell>
          <cell r="J88">
            <v>2.0099999999999998</v>
          </cell>
          <cell r="K88">
            <v>1.99</v>
          </cell>
          <cell r="L88">
            <v>2.11</v>
          </cell>
          <cell r="M88">
            <v>2.25</v>
          </cell>
          <cell r="N88">
            <v>2.36</v>
          </cell>
          <cell r="O88">
            <v>2.44</v>
          </cell>
          <cell r="P88" t="e">
            <v>#N/A</v>
          </cell>
          <cell r="Q88">
            <v>2.44</v>
          </cell>
        </row>
        <row r="89">
          <cell r="A89" t="str">
            <v xml:space="preserve"> 4/30/51</v>
          </cell>
          <cell r="C89">
            <v>1.37</v>
          </cell>
          <cell r="D89">
            <v>1.34</v>
          </cell>
          <cell r="E89">
            <v>1.62</v>
          </cell>
          <cell r="F89">
            <v>1.71</v>
          </cell>
          <cell r="G89">
            <v>1.76</v>
          </cell>
          <cell r="H89">
            <v>1.99</v>
          </cell>
          <cell r="I89">
            <v>2.11</v>
          </cell>
          <cell r="J89">
            <v>1.97</v>
          </cell>
          <cell r="K89">
            <v>1.91</v>
          </cell>
          <cell r="L89">
            <v>2.09</v>
          </cell>
          <cell r="M89">
            <v>2.31</v>
          </cell>
          <cell r="N89">
            <v>2.4700000000000002</v>
          </cell>
          <cell r="O89">
            <v>2.6</v>
          </cell>
          <cell r="P89" t="e">
            <v>#N/A</v>
          </cell>
          <cell r="Q89">
            <v>2.4900000000000002</v>
          </cell>
        </row>
        <row r="90">
          <cell r="A90" t="str">
            <v xml:space="preserve"> 5/31/51</v>
          </cell>
          <cell r="C90">
            <v>1.42</v>
          </cell>
          <cell r="D90">
            <v>1.53</v>
          </cell>
          <cell r="E90">
            <v>1.64</v>
          </cell>
          <cell r="F90">
            <v>1.86</v>
          </cell>
          <cell r="G90">
            <v>1.97</v>
          </cell>
          <cell r="H90">
            <v>2.0699999999999998</v>
          </cell>
          <cell r="I90">
            <v>2.13</v>
          </cell>
          <cell r="J90">
            <v>2.0099999999999998</v>
          </cell>
          <cell r="K90">
            <v>1.95</v>
          </cell>
          <cell r="L90">
            <v>2.15</v>
          </cell>
          <cell r="M90">
            <v>2.39</v>
          </cell>
          <cell r="N90">
            <v>2.56</v>
          </cell>
          <cell r="O90">
            <v>2.7</v>
          </cell>
          <cell r="P90">
            <v>2.57</v>
          </cell>
          <cell r="Q90">
            <v>2.54</v>
          </cell>
        </row>
        <row r="91">
          <cell r="A91" t="str">
            <v xml:space="preserve"> 6/29/51</v>
          </cell>
          <cell r="C91">
            <v>1.49</v>
          </cell>
          <cell r="D91">
            <v>1.5</v>
          </cell>
          <cell r="E91">
            <v>1.37</v>
          </cell>
          <cell r="F91">
            <v>1.67</v>
          </cell>
          <cell r="G91">
            <v>1.83</v>
          </cell>
          <cell r="H91">
            <v>1.99</v>
          </cell>
          <cell r="I91">
            <v>2.08</v>
          </cell>
          <cell r="J91">
            <v>1.97</v>
          </cell>
          <cell r="K91">
            <v>1.92</v>
          </cell>
          <cell r="L91">
            <v>2.14</v>
          </cell>
          <cell r="M91">
            <v>2.39</v>
          </cell>
          <cell r="N91">
            <v>2.57</v>
          </cell>
          <cell r="O91">
            <v>2.72</v>
          </cell>
          <cell r="P91">
            <v>2.63</v>
          </cell>
          <cell r="Q91">
            <v>2.6</v>
          </cell>
        </row>
        <row r="92">
          <cell r="A92" t="str">
            <v xml:space="preserve"> 7/31/51</v>
          </cell>
          <cell r="C92">
            <v>1.53</v>
          </cell>
          <cell r="D92">
            <v>1.51</v>
          </cell>
          <cell r="E92">
            <v>1.44</v>
          </cell>
          <cell r="F92">
            <v>1.67</v>
          </cell>
          <cell r="G92">
            <v>1.79</v>
          </cell>
          <cell r="H92">
            <v>1.91</v>
          </cell>
          <cell r="I92">
            <v>1.97</v>
          </cell>
          <cell r="J92">
            <v>1.89</v>
          </cell>
          <cell r="K92">
            <v>1.86</v>
          </cell>
          <cell r="L92">
            <v>2.06</v>
          </cell>
          <cell r="M92">
            <v>2.29</v>
          </cell>
          <cell r="N92">
            <v>2.4700000000000002</v>
          </cell>
          <cell r="O92">
            <v>2.61</v>
          </cell>
          <cell r="P92">
            <v>2.5499999999999998</v>
          </cell>
          <cell r="Q92">
            <v>2.5299999999999998</v>
          </cell>
        </row>
        <row r="93">
          <cell r="A93" t="str">
            <v xml:space="preserve"> 8/31/51</v>
          </cell>
          <cell r="C93">
            <v>1.57</v>
          </cell>
          <cell r="D93">
            <v>1.63</v>
          </cell>
          <cell r="E93">
            <v>1.72</v>
          </cell>
          <cell r="F93">
            <v>1.76</v>
          </cell>
          <cell r="G93">
            <v>1.77</v>
          </cell>
          <cell r="H93">
            <v>1.79</v>
          </cell>
          <cell r="I93">
            <v>1.8</v>
          </cell>
          <cell r="J93">
            <v>1.81</v>
          </cell>
          <cell r="K93">
            <v>1.82</v>
          </cell>
          <cell r="L93">
            <v>2</v>
          </cell>
          <cell r="M93">
            <v>2.2000000000000002</v>
          </cell>
          <cell r="N93">
            <v>2.36</v>
          </cell>
          <cell r="O93">
            <v>2.48</v>
          </cell>
          <cell r="P93" t="e">
            <v>#N/A</v>
          </cell>
          <cell r="Q93">
            <v>2.5</v>
          </cell>
        </row>
        <row r="94">
          <cell r="A94" t="str">
            <v xml:space="preserve"> 9/28/51</v>
          </cell>
          <cell r="C94">
            <v>1.62</v>
          </cell>
          <cell r="D94">
            <v>1.59</v>
          </cell>
          <cell r="E94">
            <v>1.76</v>
          </cell>
          <cell r="F94">
            <v>1.82</v>
          </cell>
          <cell r="G94">
            <v>1.85</v>
          </cell>
          <cell r="H94">
            <v>1.88</v>
          </cell>
          <cell r="I94">
            <v>1.9</v>
          </cell>
          <cell r="J94">
            <v>1.98</v>
          </cell>
          <cell r="K94">
            <v>2.02</v>
          </cell>
          <cell r="L94">
            <v>2.1800000000000002</v>
          </cell>
          <cell r="M94">
            <v>2.36</v>
          </cell>
          <cell r="N94">
            <v>2.5</v>
          </cell>
          <cell r="O94">
            <v>2.61</v>
          </cell>
          <cell r="P94">
            <v>2.56</v>
          </cell>
          <cell r="Q94">
            <v>2.54</v>
          </cell>
        </row>
        <row r="95">
          <cell r="A95" t="str">
            <v>10/31/51</v>
          </cell>
          <cell r="C95">
            <v>1.36</v>
          </cell>
          <cell r="D95">
            <v>1.61</v>
          </cell>
          <cell r="E95">
            <v>1.52</v>
          </cell>
          <cell r="F95">
            <v>1.71</v>
          </cell>
          <cell r="G95">
            <v>1.81</v>
          </cell>
          <cell r="H95">
            <v>1.9</v>
          </cell>
          <cell r="I95">
            <v>1.95</v>
          </cell>
          <cell r="J95">
            <v>1.97</v>
          </cell>
          <cell r="K95">
            <v>1.98</v>
          </cell>
          <cell r="L95">
            <v>2.16</v>
          </cell>
          <cell r="M95">
            <v>2.37</v>
          </cell>
          <cell r="N95">
            <v>2.5299999999999998</v>
          </cell>
          <cell r="O95">
            <v>2.65</v>
          </cell>
          <cell r="P95">
            <v>2.56</v>
          </cell>
          <cell r="Q95">
            <v>2.5499999999999998</v>
          </cell>
        </row>
        <row r="96">
          <cell r="A96" t="str">
            <v>11/30/51</v>
          </cell>
          <cell r="C96">
            <v>1.39</v>
          </cell>
          <cell r="D96">
            <v>1.64</v>
          </cell>
          <cell r="E96">
            <v>1.48</v>
          </cell>
          <cell r="F96">
            <v>1.71</v>
          </cell>
          <cell r="G96">
            <v>1.83</v>
          </cell>
          <cell r="H96">
            <v>1.95</v>
          </cell>
          <cell r="I96">
            <v>2</v>
          </cell>
          <cell r="J96">
            <v>2</v>
          </cell>
          <cell r="K96">
            <v>2</v>
          </cell>
          <cell r="L96">
            <v>2.19</v>
          </cell>
          <cell r="M96">
            <v>2.41</v>
          </cell>
          <cell r="N96">
            <v>2.58</v>
          </cell>
          <cell r="O96">
            <v>2.7</v>
          </cell>
          <cell r="P96">
            <v>2.67</v>
          </cell>
          <cell r="Q96">
            <v>2.67</v>
          </cell>
        </row>
        <row r="97">
          <cell r="A97" t="str">
            <v>12/31/51</v>
          </cell>
          <cell r="C97">
            <v>1.71</v>
          </cell>
          <cell r="D97">
            <v>1.77</v>
          </cell>
          <cell r="E97">
            <v>1.67</v>
          </cell>
          <cell r="F97">
            <v>1.87</v>
          </cell>
          <cell r="G97">
            <v>1.97</v>
          </cell>
          <cell r="H97">
            <v>2.0699999999999998</v>
          </cell>
          <cell r="I97">
            <v>2.12</v>
          </cell>
          <cell r="J97">
            <v>2.15</v>
          </cell>
          <cell r="K97">
            <v>2.16</v>
          </cell>
          <cell r="L97">
            <v>2.2799999999999998</v>
          </cell>
          <cell r="M97">
            <v>2.4300000000000002</v>
          </cell>
          <cell r="N97">
            <v>2.5299999999999998</v>
          </cell>
          <cell r="O97">
            <v>2.62</v>
          </cell>
          <cell r="P97">
            <v>2.73</v>
          </cell>
          <cell r="Q97">
            <v>2.74</v>
          </cell>
        </row>
        <row r="98">
          <cell r="A98" t="str">
            <v xml:space="preserve"> 1/31/52</v>
          </cell>
          <cell r="C98">
            <v>1.34</v>
          </cell>
          <cell r="D98">
            <v>1.56</v>
          </cell>
          <cell r="E98">
            <v>1.68</v>
          </cell>
          <cell r="F98">
            <v>1.73</v>
          </cell>
          <cell r="G98">
            <v>1.76</v>
          </cell>
          <cell r="H98">
            <v>1.89</v>
          </cell>
          <cell r="I98">
            <v>1.95</v>
          </cell>
          <cell r="J98">
            <v>2.0099999999999998</v>
          </cell>
          <cell r="K98">
            <v>2.0499999999999998</v>
          </cell>
          <cell r="L98">
            <v>2.19</v>
          </cell>
          <cell r="M98">
            <v>2.35</v>
          </cell>
          <cell r="N98">
            <v>2.48</v>
          </cell>
          <cell r="O98">
            <v>2.57</v>
          </cell>
          <cell r="P98">
            <v>2.74</v>
          </cell>
          <cell r="Q98">
            <v>2.75</v>
          </cell>
        </row>
        <row r="99">
          <cell r="A99" t="str">
            <v xml:space="preserve"> 2/29/52</v>
          </cell>
          <cell r="C99">
            <v>1.26</v>
          </cell>
          <cell r="D99">
            <v>1.63</v>
          </cell>
          <cell r="E99">
            <v>1.66</v>
          </cell>
          <cell r="F99">
            <v>1.71</v>
          </cell>
          <cell r="G99">
            <v>1.74</v>
          </cell>
          <cell r="H99">
            <v>1.91</v>
          </cell>
          <cell r="I99">
            <v>1.99</v>
          </cell>
          <cell r="J99">
            <v>2.0699999999999998</v>
          </cell>
          <cell r="K99">
            <v>2.11</v>
          </cell>
          <cell r="L99">
            <v>2.25</v>
          </cell>
          <cell r="M99">
            <v>2.41</v>
          </cell>
          <cell r="N99">
            <v>2.5299999999999998</v>
          </cell>
          <cell r="O99">
            <v>2.62</v>
          </cell>
          <cell r="P99">
            <v>2.74</v>
          </cell>
          <cell r="Q99">
            <v>2.75</v>
          </cell>
        </row>
        <row r="100">
          <cell r="A100" t="str">
            <v xml:space="preserve"> 3/31/52</v>
          </cell>
          <cell r="C100">
            <v>1.44</v>
          </cell>
          <cell r="D100">
            <v>1.49</v>
          </cell>
          <cell r="E100">
            <v>1.5</v>
          </cell>
          <cell r="F100">
            <v>1.62</v>
          </cell>
          <cell r="G100">
            <v>1.68</v>
          </cell>
          <cell r="H100">
            <v>1.74</v>
          </cell>
          <cell r="I100">
            <v>1.77</v>
          </cell>
          <cell r="J100">
            <v>1.93</v>
          </cell>
          <cell r="K100">
            <v>2.0099999999999998</v>
          </cell>
          <cell r="L100">
            <v>2.1800000000000002</v>
          </cell>
          <cell r="M100">
            <v>2.38</v>
          </cell>
          <cell r="N100">
            <v>2.5299999999999998</v>
          </cell>
          <cell r="O100">
            <v>2.64</v>
          </cell>
          <cell r="P100">
            <v>2.67</v>
          </cell>
          <cell r="Q100">
            <v>2.68</v>
          </cell>
        </row>
        <row r="101">
          <cell r="A101" t="str">
            <v xml:space="preserve"> 4/30/52</v>
          </cell>
          <cell r="C101">
            <v>1.62</v>
          </cell>
          <cell r="D101">
            <v>1.63</v>
          </cell>
          <cell r="E101">
            <v>1.47</v>
          </cell>
          <cell r="F101">
            <v>1.6</v>
          </cell>
          <cell r="G101">
            <v>1.67</v>
          </cell>
          <cell r="H101">
            <v>1.74</v>
          </cell>
          <cell r="I101">
            <v>1.77</v>
          </cell>
          <cell r="J101">
            <v>1.88</v>
          </cell>
          <cell r="K101">
            <v>1.94</v>
          </cell>
          <cell r="L101">
            <v>2.09</v>
          </cell>
          <cell r="M101">
            <v>2.27</v>
          </cell>
          <cell r="N101">
            <v>2.41</v>
          </cell>
          <cell r="O101">
            <v>2.52</v>
          </cell>
          <cell r="P101">
            <v>2.58</v>
          </cell>
          <cell r="Q101">
            <v>2.58</v>
          </cell>
        </row>
        <row r="102">
          <cell r="A102" t="str">
            <v xml:space="preserve"> 5/29/52</v>
          </cell>
          <cell r="C102">
            <v>1.66</v>
          </cell>
          <cell r="D102">
            <v>1.66</v>
          </cell>
          <cell r="E102">
            <v>1.55</v>
          </cell>
          <cell r="F102">
            <v>1.67</v>
          </cell>
          <cell r="G102">
            <v>1.73</v>
          </cell>
          <cell r="H102">
            <v>1.79</v>
          </cell>
          <cell r="I102">
            <v>1.83</v>
          </cell>
          <cell r="J102">
            <v>1.93</v>
          </cell>
          <cell r="K102">
            <v>1.98</v>
          </cell>
          <cell r="L102">
            <v>2.11</v>
          </cell>
          <cell r="M102">
            <v>2.25</v>
          </cell>
          <cell r="N102">
            <v>2.37</v>
          </cell>
          <cell r="O102">
            <v>2.4500000000000002</v>
          </cell>
          <cell r="P102">
            <v>2.63</v>
          </cell>
          <cell r="Q102">
            <v>2.64</v>
          </cell>
        </row>
        <row r="103">
          <cell r="A103" t="str">
            <v xml:space="preserve"> 6/30/52</v>
          </cell>
          <cell r="C103">
            <v>1.77</v>
          </cell>
          <cell r="D103">
            <v>1.77</v>
          </cell>
          <cell r="E103">
            <v>1.77</v>
          </cell>
          <cell r="F103">
            <v>1.83</v>
          </cell>
          <cell r="G103">
            <v>1.86</v>
          </cell>
          <cell r="H103">
            <v>1.89</v>
          </cell>
          <cell r="I103">
            <v>1.91</v>
          </cell>
          <cell r="J103">
            <v>2.0499999999999998</v>
          </cell>
          <cell r="K103">
            <v>2.12</v>
          </cell>
          <cell r="L103">
            <v>2.21</v>
          </cell>
          <cell r="M103">
            <v>2.3199999999999998</v>
          </cell>
          <cell r="N103">
            <v>2.41</v>
          </cell>
          <cell r="O103">
            <v>2.4700000000000002</v>
          </cell>
          <cell r="P103">
            <v>2.63</v>
          </cell>
          <cell r="Q103">
            <v>2.64</v>
          </cell>
        </row>
        <row r="104">
          <cell r="A104" t="str">
            <v xml:space="preserve"> 7/31/52</v>
          </cell>
          <cell r="C104">
            <v>1.82</v>
          </cell>
          <cell r="D104">
            <v>1.84</v>
          </cell>
          <cell r="E104">
            <v>1.84</v>
          </cell>
          <cell r="F104">
            <v>1.92</v>
          </cell>
          <cell r="G104">
            <v>1.96</v>
          </cell>
          <cell r="H104">
            <v>2.02</v>
          </cell>
          <cell r="I104">
            <v>2.0499999999999998</v>
          </cell>
          <cell r="J104">
            <v>2.14</v>
          </cell>
          <cell r="K104">
            <v>2.19</v>
          </cell>
          <cell r="L104">
            <v>2.2799999999999998</v>
          </cell>
          <cell r="M104">
            <v>2.38</v>
          </cell>
          <cell r="N104">
            <v>2.46</v>
          </cell>
          <cell r="O104">
            <v>2.52</v>
          </cell>
          <cell r="P104">
            <v>2.66</v>
          </cell>
          <cell r="Q104">
            <v>2.66</v>
          </cell>
        </row>
        <row r="105">
          <cell r="A105" t="str">
            <v xml:space="preserve"> 8/29/52</v>
          </cell>
          <cell r="C105">
            <v>1.67</v>
          </cell>
          <cell r="D105">
            <v>1.84</v>
          </cell>
          <cell r="E105">
            <v>1.92</v>
          </cell>
          <cell r="F105">
            <v>1.97</v>
          </cell>
          <cell r="G105">
            <v>1.99</v>
          </cell>
          <cell r="H105">
            <v>2.12</v>
          </cell>
          <cell r="I105">
            <v>2.1800000000000002</v>
          </cell>
          <cell r="J105">
            <v>2.2000000000000002</v>
          </cell>
          <cell r="K105">
            <v>2.2200000000000002</v>
          </cell>
          <cell r="L105">
            <v>2.33</v>
          </cell>
          <cell r="M105">
            <v>2.46</v>
          </cell>
          <cell r="N105">
            <v>2.56</v>
          </cell>
          <cell r="O105">
            <v>2.64</v>
          </cell>
          <cell r="P105">
            <v>2.72</v>
          </cell>
          <cell r="Q105">
            <v>2.72</v>
          </cell>
        </row>
        <row r="106">
          <cell r="A106" t="str">
            <v xml:space="preserve"> 9/30/52</v>
          </cell>
          <cell r="C106">
            <v>1.54</v>
          </cell>
          <cell r="D106">
            <v>1.75</v>
          </cell>
          <cell r="E106">
            <v>1.82</v>
          </cell>
          <cell r="F106">
            <v>1.93</v>
          </cell>
          <cell r="G106">
            <v>1.98</v>
          </cell>
          <cell r="H106">
            <v>2.14</v>
          </cell>
          <cell r="I106">
            <v>2.2200000000000002</v>
          </cell>
          <cell r="J106">
            <v>2.2200000000000002</v>
          </cell>
          <cell r="K106">
            <v>2.21</v>
          </cell>
          <cell r="L106">
            <v>2.37</v>
          </cell>
          <cell r="M106">
            <v>2.5499999999999998</v>
          </cell>
          <cell r="N106">
            <v>2.68</v>
          </cell>
          <cell r="O106">
            <v>2.78</v>
          </cell>
          <cell r="P106" t="e">
            <v>#N/A</v>
          </cell>
          <cell r="Q106">
            <v>2.82</v>
          </cell>
        </row>
        <row r="107">
          <cell r="A107" t="str">
            <v>10/31/52</v>
          </cell>
          <cell r="C107">
            <v>1.5</v>
          </cell>
          <cell r="D107">
            <v>1.8</v>
          </cell>
          <cell r="E107">
            <v>1.75</v>
          </cell>
          <cell r="F107">
            <v>1.86</v>
          </cell>
          <cell r="G107">
            <v>1.91</v>
          </cell>
          <cell r="H107">
            <v>2.08</v>
          </cell>
          <cell r="I107">
            <v>2.17</v>
          </cell>
          <cell r="J107">
            <v>2.2000000000000002</v>
          </cell>
          <cell r="K107">
            <v>2.21</v>
          </cell>
          <cell r="L107">
            <v>2.3199999999999998</v>
          </cell>
          <cell r="M107">
            <v>2.44</v>
          </cell>
          <cell r="N107">
            <v>2.5299999999999998</v>
          </cell>
          <cell r="O107">
            <v>2.6</v>
          </cell>
          <cell r="P107" t="e">
            <v>#N/A</v>
          </cell>
          <cell r="Q107">
            <v>2.75</v>
          </cell>
        </row>
        <row r="108">
          <cell r="A108" t="str">
            <v>11/28/52</v>
          </cell>
          <cell r="C108">
            <v>1.73</v>
          </cell>
          <cell r="D108">
            <v>1.94</v>
          </cell>
          <cell r="E108">
            <v>2.0299999999999998</v>
          </cell>
          <cell r="F108">
            <v>2.06</v>
          </cell>
          <cell r="G108">
            <v>2.0699999999999998</v>
          </cell>
          <cell r="H108">
            <v>2.2000000000000002</v>
          </cell>
          <cell r="I108">
            <v>2.2599999999999998</v>
          </cell>
          <cell r="J108">
            <v>2.27</v>
          </cell>
          <cell r="K108">
            <v>2.27</v>
          </cell>
          <cell r="L108">
            <v>2.35</v>
          </cell>
          <cell r="M108">
            <v>2.44</v>
          </cell>
          <cell r="N108">
            <v>2.5099999999999998</v>
          </cell>
          <cell r="O108">
            <v>2.57</v>
          </cell>
          <cell r="P108" t="e">
            <v>#N/A</v>
          </cell>
          <cell r="Q108">
            <v>2.79</v>
          </cell>
        </row>
        <row r="109">
          <cell r="A109" t="str">
            <v>12/31/52</v>
          </cell>
          <cell r="C109">
            <v>1.96</v>
          </cell>
          <cell r="D109">
            <v>2.0299999999999998</v>
          </cell>
          <cell r="E109">
            <v>1.93</v>
          </cell>
          <cell r="F109">
            <v>2.02</v>
          </cell>
          <cell r="G109">
            <v>2.06</v>
          </cell>
          <cell r="H109">
            <v>2.2200000000000002</v>
          </cell>
          <cell r="I109">
            <v>2.2999999999999998</v>
          </cell>
          <cell r="J109">
            <v>2.29</v>
          </cell>
          <cell r="K109">
            <v>2.29</v>
          </cell>
          <cell r="L109">
            <v>2.37</v>
          </cell>
          <cell r="M109">
            <v>2.4700000000000002</v>
          </cell>
          <cell r="N109">
            <v>2.54</v>
          </cell>
          <cell r="O109">
            <v>2.59</v>
          </cell>
          <cell r="P109" t="e">
            <v>#N/A</v>
          </cell>
          <cell r="Q109">
            <v>2.88</v>
          </cell>
        </row>
        <row r="110">
          <cell r="A110" t="str">
            <v xml:space="preserve"> 1/30/53</v>
          </cell>
          <cell r="C110">
            <v>1.83</v>
          </cell>
          <cell r="D110">
            <v>1.89</v>
          </cell>
          <cell r="E110">
            <v>1.9</v>
          </cell>
          <cell r="F110">
            <v>1.97</v>
          </cell>
          <cell r="G110">
            <v>2</v>
          </cell>
          <cell r="H110">
            <v>2.17</v>
          </cell>
          <cell r="I110">
            <v>2.25</v>
          </cell>
          <cell r="J110">
            <v>2.2400000000000002</v>
          </cell>
          <cell r="K110">
            <v>2.2400000000000002</v>
          </cell>
          <cell r="L110">
            <v>2.36</v>
          </cell>
          <cell r="M110">
            <v>2.5099999999999998</v>
          </cell>
          <cell r="N110">
            <v>2.66</v>
          </cell>
          <cell r="O110">
            <v>2.79</v>
          </cell>
          <cell r="P110" t="e">
            <v>#N/A</v>
          </cell>
          <cell r="Q110">
            <v>2.85</v>
          </cell>
        </row>
        <row r="111">
          <cell r="A111" t="str">
            <v xml:space="preserve"> 2/27/53</v>
          </cell>
          <cell r="C111">
            <v>2.02</v>
          </cell>
          <cell r="D111">
            <v>2.04</v>
          </cell>
          <cell r="E111">
            <v>1.92</v>
          </cell>
          <cell r="F111">
            <v>2.06</v>
          </cell>
          <cell r="G111">
            <v>2.13</v>
          </cell>
          <cell r="H111">
            <v>2.25</v>
          </cell>
          <cell r="I111">
            <v>2.2999999999999998</v>
          </cell>
          <cell r="J111">
            <v>2.2999999999999998</v>
          </cell>
          <cell r="K111">
            <v>2.2999999999999998</v>
          </cell>
          <cell r="L111">
            <v>2.42</v>
          </cell>
          <cell r="M111">
            <v>2.56</v>
          </cell>
          <cell r="N111">
            <v>2.73</v>
          </cell>
          <cell r="O111">
            <v>2.89</v>
          </cell>
          <cell r="P111" t="e">
            <v>#N/A</v>
          </cell>
          <cell r="Q111">
            <v>2.93</v>
          </cell>
        </row>
        <row r="112">
          <cell r="A112" t="str">
            <v xml:space="preserve"> 3/31/53</v>
          </cell>
          <cell r="C112">
            <v>2</v>
          </cell>
          <cell r="D112">
            <v>2.04</v>
          </cell>
          <cell r="E112">
            <v>1.97</v>
          </cell>
          <cell r="F112">
            <v>2.12</v>
          </cell>
          <cell r="G112">
            <v>2.19</v>
          </cell>
          <cell r="H112">
            <v>2.25</v>
          </cell>
          <cell r="I112">
            <v>2.2799999999999998</v>
          </cell>
          <cell r="J112">
            <v>2.36</v>
          </cell>
          <cell r="K112">
            <v>2.4</v>
          </cell>
          <cell r="L112">
            <v>2.5099999999999998</v>
          </cell>
          <cell r="M112">
            <v>2.63</v>
          </cell>
          <cell r="N112">
            <v>2.79</v>
          </cell>
          <cell r="O112">
            <v>2.94</v>
          </cell>
          <cell r="P112" t="e">
            <v>#N/A</v>
          </cell>
          <cell r="Q112">
            <v>3.02</v>
          </cell>
        </row>
        <row r="113">
          <cell r="A113" t="str">
            <v xml:space="preserve"> 4/30/53</v>
          </cell>
          <cell r="C113">
            <v>2.11</v>
          </cell>
          <cell r="D113">
            <v>2.27</v>
          </cell>
          <cell r="E113">
            <v>2.2599999999999998</v>
          </cell>
          <cell r="F113">
            <v>2.42</v>
          </cell>
          <cell r="G113">
            <v>2.5</v>
          </cell>
          <cell r="H113">
            <v>2.5299999999999998</v>
          </cell>
          <cell r="I113">
            <v>2.54</v>
          </cell>
          <cell r="J113">
            <v>2.52</v>
          </cell>
          <cell r="K113">
            <v>2.5099999999999998</v>
          </cell>
          <cell r="L113">
            <v>2.69</v>
          </cell>
          <cell r="M113">
            <v>2.91</v>
          </cell>
          <cell r="N113">
            <v>2.98</v>
          </cell>
          <cell r="O113">
            <v>3</v>
          </cell>
          <cell r="P113">
            <v>3.15</v>
          </cell>
          <cell r="Q113">
            <v>3.35</v>
          </cell>
        </row>
        <row r="114">
          <cell r="A114" t="str">
            <v xml:space="preserve"> 5/29/53</v>
          </cell>
          <cell r="C114">
            <v>1.86</v>
          </cell>
          <cell r="D114">
            <v>2.31</v>
          </cell>
          <cell r="E114">
            <v>2.41</v>
          </cell>
          <cell r="F114">
            <v>2.59</v>
          </cell>
          <cell r="G114">
            <v>2.68</v>
          </cell>
          <cell r="H114">
            <v>2.71</v>
          </cell>
          <cell r="I114">
            <v>2.73</v>
          </cell>
          <cell r="J114">
            <v>2.76</v>
          </cell>
          <cell r="K114">
            <v>2.78</v>
          </cell>
          <cell r="L114">
            <v>2.99</v>
          </cell>
          <cell r="M114">
            <v>3.24</v>
          </cell>
          <cell r="N114">
            <v>3.27</v>
          </cell>
          <cell r="O114">
            <v>3.2</v>
          </cell>
          <cell r="P114">
            <v>3.25</v>
          </cell>
          <cell r="Q114">
            <v>3.32</v>
          </cell>
        </row>
        <row r="115">
          <cell r="A115" t="str">
            <v xml:space="preserve"> 6/30/53</v>
          </cell>
          <cell r="C115">
            <v>1.68</v>
          </cell>
          <cell r="D115">
            <v>1.99</v>
          </cell>
          <cell r="E115">
            <v>2.15</v>
          </cell>
          <cell r="F115">
            <v>2.31</v>
          </cell>
          <cell r="G115">
            <v>2.39</v>
          </cell>
          <cell r="H115">
            <v>2.4900000000000002</v>
          </cell>
          <cell r="I115">
            <v>2.5299999999999998</v>
          </cell>
          <cell r="J115">
            <v>2.57</v>
          </cell>
          <cell r="K115">
            <v>2.58</v>
          </cell>
          <cell r="L115">
            <v>2.75</v>
          </cell>
          <cell r="M115">
            <v>2.95</v>
          </cell>
          <cell r="N115">
            <v>3.02</v>
          </cell>
          <cell r="O115">
            <v>3.02</v>
          </cell>
          <cell r="P115">
            <v>3.16</v>
          </cell>
          <cell r="Q115">
            <v>3.34</v>
          </cell>
        </row>
        <row r="116">
          <cell r="A116" t="str">
            <v xml:space="preserve"> 7/31/53</v>
          </cell>
          <cell r="C116">
            <v>1.91</v>
          </cell>
          <cell r="D116">
            <v>2.08</v>
          </cell>
          <cell r="E116">
            <v>2.09</v>
          </cell>
          <cell r="F116">
            <v>2.29</v>
          </cell>
          <cell r="G116">
            <v>2.39</v>
          </cell>
          <cell r="H116">
            <v>2.36</v>
          </cell>
          <cell r="I116">
            <v>2.35</v>
          </cell>
          <cell r="J116">
            <v>2.4900000000000002</v>
          </cell>
          <cell r="K116">
            <v>2.56</v>
          </cell>
          <cell r="L116">
            <v>2.71</v>
          </cell>
          <cell r="M116">
            <v>2.88</v>
          </cell>
          <cell r="N116">
            <v>2.96</v>
          </cell>
          <cell r="O116">
            <v>2.99</v>
          </cell>
          <cell r="P116">
            <v>3.18</v>
          </cell>
          <cell r="Q116">
            <v>3.33</v>
          </cell>
        </row>
        <row r="117">
          <cell r="A117" t="str">
            <v xml:space="preserve"> 8/31/53</v>
          </cell>
          <cell r="C117">
            <v>1.78</v>
          </cell>
          <cell r="D117">
            <v>1.88</v>
          </cell>
          <cell r="E117">
            <v>2.11</v>
          </cell>
          <cell r="F117">
            <v>2.29</v>
          </cell>
          <cell r="G117">
            <v>2.38</v>
          </cell>
          <cell r="H117">
            <v>2.2799999999999998</v>
          </cell>
          <cell r="I117">
            <v>2.2200000000000002</v>
          </cell>
          <cell r="J117">
            <v>2.52</v>
          </cell>
          <cell r="K117">
            <v>2.66</v>
          </cell>
          <cell r="L117">
            <v>2.78</v>
          </cell>
          <cell r="M117">
            <v>2.92</v>
          </cell>
          <cell r="N117">
            <v>2.99</v>
          </cell>
          <cell r="O117">
            <v>3.02</v>
          </cell>
          <cell r="P117">
            <v>3.18</v>
          </cell>
          <cell r="Q117">
            <v>3.3</v>
          </cell>
        </row>
        <row r="118">
          <cell r="A118" t="str">
            <v xml:space="preserve"> 9/30/53</v>
          </cell>
          <cell r="C118">
            <v>1.32</v>
          </cell>
          <cell r="D118">
            <v>1.5</v>
          </cell>
          <cell r="E118">
            <v>1.7</v>
          </cell>
          <cell r="F118">
            <v>1.92</v>
          </cell>
          <cell r="G118">
            <v>2.0299999999999998</v>
          </cell>
          <cell r="H118">
            <v>2.14</v>
          </cell>
          <cell r="I118">
            <v>2.2000000000000002</v>
          </cell>
          <cell r="J118">
            <v>2.33</v>
          </cell>
          <cell r="K118">
            <v>2.4</v>
          </cell>
          <cell r="L118">
            <v>2.46</v>
          </cell>
          <cell r="M118">
            <v>2.5299999999999998</v>
          </cell>
          <cell r="N118">
            <v>2.64</v>
          </cell>
          <cell r="O118">
            <v>2.76</v>
          </cell>
          <cell r="P118">
            <v>3.04</v>
          </cell>
          <cell r="Q118">
            <v>3.23</v>
          </cell>
        </row>
        <row r="119">
          <cell r="A119" t="str">
            <v>10/30/53</v>
          </cell>
          <cell r="C119">
            <v>0.93</v>
          </cell>
          <cell r="D119">
            <v>1.21</v>
          </cell>
          <cell r="E119">
            <v>1.3</v>
          </cell>
          <cell r="F119">
            <v>1.58</v>
          </cell>
          <cell r="G119">
            <v>1.72</v>
          </cell>
          <cell r="H119">
            <v>1.85</v>
          </cell>
          <cell r="I119">
            <v>1.92</v>
          </cell>
          <cell r="J119">
            <v>2.15</v>
          </cell>
          <cell r="K119">
            <v>2.2599999999999998</v>
          </cell>
          <cell r="L119">
            <v>2.35</v>
          </cell>
          <cell r="M119">
            <v>2.46</v>
          </cell>
          <cell r="N119">
            <v>2.61</v>
          </cell>
          <cell r="O119">
            <v>2.77</v>
          </cell>
          <cell r="P119">
            <v>2.98</v>
          </cell>
          <cell r="Q119">
            <v>3.12</v>
          </cell>
        </row>
        <row r="120">
          <cell r="A120" t="str">
            <v>11/30/53</v>
          </cell>
          <cell r="C120">
            <v>1.19</v>
          </cell>
          <cell r="D120">
            <v>1.48</v>
          </cell>
          <cell r="E120">
            <v>1.46</v>
          </cell>
          <cell r="F120">
            <v>1.52</v>
          </cell>
          <cell r="G120">
            <v>1.55</v>
          </cell>
          <cell r="H120">
            <v>1.85</v>
          </cell>
          <cell r="I120">
            <v>1.99</v>
          </cell>
          <cell r="J120">
            <v>2.17</v>
          </cell>
          <cell r="K120">
            <v>2.25</v>
          </cell>
          <cell r="L120">
            <v>2.4</v>
          </cell>
          <cell r="M120">
            <v>2.56</v>
          </cell>
          <cell r="N120">
            <v>2.71</v>
          </cell>
          <cell r="O120">
            <v>2.83</v>
          </cell>
          <cell r="P120">
            <v>3</v>
          </cell>
          <cell r="Q120">
            <v>3.11</v>
          </cell>
        </row>
        <row r="121">
          <cell r="A121" t="str">
            <v>12/31/53</v>
          </cell>
          <cell r="C121">
            <v>1.27</v>
          </cell>
          <cell r="D121">
            <v>1.38</v>
          </cell>
          <cell r="E121">
            <v>1.2</v>
          </cell>
          <cell r="F121">
            <v>1.45</v>
          </cell>
          <cell r="G121">
            <v>1.58</v>
          </cell>
          <cell r="H121">
            <v>1.79</v>
          </cell>
          <cell r="I121">
            <v>1.9</v>
          </cell>
          <cell r="J121">
            <v>2.02</v>
          </cell>
          <cell r="K121">
            <v>2.08</v>
          </cell>
          <cell r="L121">
            <v>2.2000000000000002</v>
          </cell>
          <cell r="M121">
            <v>2.33</v>
          </cell>
          <cell r="N121">
            <v>2.5099999999999998</v>
          </cell>
          <cell r="O121">
            <v>2.68</v>
          </cell>
          <cell r="P121">
            <v>2.89</v>
          </cell>
          <cell r="Q121">
            <v>3.03</v>
          </cell>
        </row>
        <row r="122">
          <cell r="A122" t="str">
            <v xml:space="preserve"> 1/29/54</v>
          </cell>
          <cell r="C122">
            <v>0.95</v>
          </cell>
          <cell r="D122">
            <v>0.79</v>
          </cell>
          <cell r="E122">
            <v>0.72</v>
          </cell>
          <cell r="F122">
            <v>1</v>
          </cell>
          <cell r="G122">
            <v>1.1399999999999999</v>
          </cell>
          <cell r="H122">
            <v>1.39</v>
          </cell>
          <cell r="I122">
            <v>1.51</v>
          </cell>
          <cell r="J122">
            <v>1.71</v>
          </cell>
          <cell r="K122">
            <v>1.81</v>
          </cell>
          <cell r="L122">
            <v>2.04</v>
          </cell>
          <cell r="M122">
            <v>2.2999999999999998</v>
          </cell>
          <cell r="N122">
            <v>2.48</v>
          </cell>
          <cell r="O122">
            <v>2.62</v>
          </cell>
          <cell r="P122">
            <v>2.83</v>
          </cell>
          <cell r="Q122">
            <v>2.98</v>
          </cell>
        </row>
        <row r="123">
          <cell r="A123" t="str">
            <v xml:space="preserve"> 2/26/54</v>
          </cell>
          <cell r="C123">
            <v>0.85</v>
          </cell>
          <cell r="D123">
            <v>0.87</v>
          </cell>
          <cell r="E123">
            <v>0.66</v>
          </cell>
          <cell r="F123">
            <v>0.94</v>
          </cell>
          <cell r="G123">
            <v>1.0900000000000001</v>
          </cell>
          <cell r="H123">
            <v>1.23</v>
          </cell>
          <cell r="I123">
            <v>1.3</v>
          </cell>
          <cell r="J123">
            <v>1.55</v>
          </cell>
          <cell r="K123">
            <v>1.68</v>
          </cell>
          <cell r="L123">
            <v>1.98</v>
          </cell>
          <cell r="M123">
            <v>2.33</v>
          </cell>
          <cell r="N123">
            <v>2.4700000000000002</v>
          </cell>
          <cell r="O123">
            <v>2.52</v>
          </cell>
          <cell r="P123">
            <v>2.71</v>
          </cell>
          <cell r="Q123">
            <v>2.83</v>
          </cell>
        </row>
        <row r="124">
          <cell r="A124" t="str">
            <v xml:space="preserve"> 3/31/54</v>
          </cell>
          <cell r="C124">
            <v>0.98</v>
          </cell>
          <cell r="D124">
            <v>1.02</v>
          </cell>
          <cell r="E124">
            <v>0.6</v>
          </cell>
          <cell r="F124">
            <v>0.88</v>
          </cell>
          <cell r="G124">
            <v>1.02</v>
          </cell>
          <cell r="H124">
            <v>1.23</v>
          </cell>
          <cell r="I124">
            <v>1.33</v>
          </cell>
          <cell r="J124">
            <v>1.55</v>
          </cell>
          <cell r="K124">
            <v>1.66</v>
          </cell>
          <cell r="L124">
            <v>1.93</v>
          </cell>
          <cell r="M124">
            <v>2.2400000000000002</v>
          </cell>
          <cell r="N124">
            <v>2.46</v>
          </cell>
          <cell r="O124">
            <v>2.61</v>
          </cell>
          <cell r="P124">
            <v>2.74</v>
          </cell>
          <cell r="Q124">
            <v>2.82</v>
          </cell>
        </row>
        <row r="125">
          <cell r="A125" t="str">
            <v xml:space="preserve"> 4/30/54</v>
          </cell>
          <cell r="C125">
            <v>0.65</v>
          </cell>
          <cell r="D125">
            <v>0.62</v>
          </cell>
          <cell r="E125">
            <v>0.05</v>
          </cell>
          <cell r="F125">
            <v>0.56999999999999995</v>
          </cell>
          <cell r="G125">
            <v>0.85</v>
          </cell>
          <cell r="H125">
            <v>1.08</v>
          </cell>
          <cell r="I125">
            <v>1.2</v>
          </cell>
          <cell r="J125">
            <v>1.44</v>
          </cell>
          <cell r="K125">
            <v>1.57</v>
          </cell>
          <cell r="L125">
            <v>1.81</v>
          </cell>
          <cell r="M125">
            <v>2.09</v>
          </cell>
          <cell r="N125">
            <v>2.36</v>
          </cell>
          <cell r="O125">
            <v>2.62</v>
          </cell>
          <cell r="P125">
            <v>2.72</v>
          </cell>
          <cell r="Q125">
            <v>2.77</v>
          </cell>
        </row>
        <row r="126">
          <cell r="A126" t="str">
            <v xml:space="preserve"> 5/28/54</v>
          </cell>
          <cell r="C126">
            <v>0.57999999999999996</v>
          </cell>
          <cell r="D126">
            <v>0.62</v>
          </cell>
          <cell r="E126">
            <v>0.53</v>
          </cell>
          <cell r="F126">
            <v>0.69</v>
          </cell>
          <cell r="G126">
            <v>0.77</v>
          </cell>
          <cell r="H126">
            <v>1.1299999999999999</v>
          </cell>
          <cell r="I126">
            <v>1.31</v>
          </cell>
          <cell r="J126">
            <v>1.62</v>
          </cell>
          <cell r="K126">
            <v>1.77</v>
          </cell>
          <cell r="L126">
            <v>2.0299999999999998</v>
          </cell>
          <cell r="M126">
            <v>2.3199999999999998</v>
          </cell>
          <cell r="N126">
            <v>2.48</v>
          </cell>
          <cell r="O126">
            <v>2.57</v>
          </cell>
          <cell r="P126">
            <v>2.73</v>
          </cell>
          <cell r="Q126">
            <v>2.82</v>
          </cell>
        </row>
        <row r="127">
          <cell r="A127" t="str">
            <v xml:space="preserve"> 6/30/54</v>
          </cell>
          <cell r="C127">
            <v>0.59</v>
          </cell>
          <cell r="D127">
            <v>0.6</v>
          </cell>
          <cell r="E127">
            <v>0.57999999999999996</v>
          </cell>
          <cell r="F127">
            <v>0.59</v>
          </cell>
          <cell r="G127">
            <v>0.59</v>
          </cell>
          <cell r="H127">
            <v>0.93</v>
          </cell>
          <cell r="I127">
            <v>1.1000000000000001</v>
          </cell>
          <cell r="J127">
            <v>1.44</v>
          </cell>
          <cell r="K127">
            <v>1.61</v>
          </cell>
          <cell r="L127">
            <v>1.88</v>
          </cell>
          <cell r="M127">
            <v>2.1800000000000002</v>
          </cell>
          <cell r="N127">
            <v>2.4500000000000002</v>
          </cell>
          <cell r="O127">
            <v>2.67</v>
          </cell>
          <cell r="P127">
            <v>2.72</v>
          </cell>
          <cell r="Q127">
            <v>2.73</v>
          </cell>
        </row>
        <row r="128">
          <cell r="A128" t="str">
            <v xml:space="preserve"> 7/30/54</v>
          </cell>
          <cell r="C128">
            <v>0.64</v>
          </cell>
          <cell r="D128">
            <v>0.66</v>
          </cell>
          <cell r="E128">
            <v>0.66</v>
          </cell>
          <cell r="F128">
            <v>0.49</v>
          </cell>
          <cell r="G128">
            <v>0.4</v>
          </cell>
          <cell r="H128">
            <v>0.92</v>
          </cell>
          <cell r="I128">
            <v>1.18</v>
          </cell>
          <cell r="J128">
            <v>1.5</v>
          </cell>
          <cell r="K128">
            <v>1.65</v>
          </cell>
          <cell r="L128">
            <v>1.91</v>
          </cell>
          <cell r="M128">
            <v>2.21</v>
          </cell>
          <cell r="N128">
            <v>2.41</v>
          </cell>
          <cell r="O128">
            <v>2.56</v>
          </cell>
          <cell r="P128">
            <v>2.63</v>
          </cell>
          <cell r="Q128">
            <v>2.66</v>
          </cell>
        </row>
        <row r="129">
          <cell r="A129" t="str">
            <v xml:space="preserve"> 8/31/54</v>
          </cell>
          <cell r="C129">
            <v>1.03</v>
          </cell>
          <cell r="D129">
            <v>0.98</v>
          </cell>
          <cell r="E129">
            <v>0.84</v>
          </cell>
          <cell r="F129">
            <v>0.72</v>
          </cell>
          <cell r="G129">
            <v>0.66</v>
          </cell>
          <cell r="H129">
            <v>1.04</v>
          </cell>
          <cell r="I129">
            <v>1.24</v>
          </cell>
          <cell r="J129">
            <v>1.54</v>
          </cell>
          <cell r="K129">
            <v>1.69</v>
          </cell>
          <cell r="L129">
            <v>1.96</v>
          </cell>
          <cell r="M129">
            <v>2.27</v>
          </cell>
          <cell r="N129">
            <v>2.4500000000000002</v>
          </cell>
          <cell r="O129">
            <v>2.57</v>
          </cell>
          <cell r="P129">
            <v>2.64</v>
          </cell>
          <cell r="Q129">
            <v>2.68</v>
          </cell>
        </row>
        <row r="130">
          <cell r="A130" t="str">
            <v xml:space="preserve"> 9/30/54</v>
          </cell>
          <cell r="C130">
            <v>0.85</v>
          </cell>
          <cell r="D130">
            <v>0.97</v>
          </cell>
          <cell r="E130">
            <v>0.85</v>
          </cell>
          <cell r="F130">
            <v>0.83</v>
          </cell>
          <cell r="G130">
            <v>0.82</v>
          </cell>
          <cell r="H130">
            <v>1.23</v>
          </cell>
          <cell r="I130">
            <v>1.43</v>
          </cell>
          <cell r="J130">
            <v>1.68</v>
          </cell>
          <cell r="K130">
            <v>1.8</v>
          </cell>
          <cell r="L130">
            <v>2.0299999999999998</v>
          </cell>
          <cell r="M130">
            <v>2.2999999999999998</v>
          </cell>
          <cell r="N130">
            <v>2.4500000000000002</v>
          </cell>
          <cell r="O130">
            <v>2.5499999999999998</v>
          </cell>
          <cell r="P130">
            <v>2.65</v>
          </cell>
          <cell r="Q130">
            <v>2.7</v>
          </cell>
        </row>
        <row r="131">
          <cell r="A131" t="str">
            <v>10/29/54</v>
          </cell>
          <cell r="C131">
            <v>0.77</v>
          </cell>
          <cell r="D131">
            <v>0.97</v>
          </cell>
          <cell r="E131">
            <v>0.99</v>
          </cell>
          <cell r="F131">
            <v>0.99</v>
          </cell>
          <cell r="G131">
            <v>0.99</v>
          </cell>
          <cell r="H131">
            <v>1.36</v>
          </cell>
          <cell r="I131">
            <v>1.55</v>
          </cell>
          <cell r="J131">
            <v>1.79</v>
          </cell>
          <cell r="K131">
            <v>1.91</v>
          </cell>
          <cell r="L131">
            <v>2.1</v>
          </cell>
          <cell r="M131">
            <v>2.33</v>
          </cell>
          <cell r="N131">
            <v>2.46</v>
          </cell>
          <cell r="O131">
            <v>2.5299999999999998</v>
          </cell>
          <cell r="P131">
            <v>2.65</v>
          </cell>
          <cell r="Q131">
            <v>2.72</v>
          </cell>
        </row>
        <row r="132">
          <cell r="A132" t="str">
            <v>11/30/54</v>
          </cell>
          <cell r="C132">
            <v>0.87</v>
          </cell>
          <cell r="D132">
            <v>1.02</v>
          </cell>
          <cell r="E132">
            <v>0.98</v>
          </cell>
          <cell r="F132">
            <v>0.96</v>
          </cell>
          <cell r="G132">
            <v>0.96</v>
          </cell>
          <cell r="H132">
            <v>1.36</v>
          </cell>
          <cell r="I132">
            <v>1.56</v>
          </cell>
          <cell r="J132">
            <v>1.79</v>
          </cell>
          <cell r="K132">
            <v>1.9</v>
          </cell>
          <cell r="L132">
            <v>2.09</v>
          </cell>
          <cell r="M132">
            <v>2.31</v>
          </cell>
          <cell r="N132">
            <v>2.4700000000000002</v>
          </cell>
          <cell r="O132">
            <v>2.59</v>
          </cell>
          <cell r="P132">
            <v>2.7</v>
          </cell>
          <cell r="Q132">
            <v>2.75</v>
          </cell>
        </row>
        <row r="133">
          <cell r="A133" t="str">
            <v>12/31/54</v>
          </cell>
          <cell r="C133">
            <v>0.95</v>
          </cell>
          <cell r="D133">
            <v>1</v>
          </cell>
          <cell r="E133">
            <v>0.86</v>
          </cell>
          <cell r="F133">
            <v>1.06</v>
          </cell>
          <cell r="G133">
            <v>1.1599999999999999</v>
          </cell>
          <cell r="H133">
            <v>1.47</v>
          </cell>
          <cell r="I133">
            <v>1.62</v>
          </cell>
          <cell r="J133">
            <v>1.87</v>
          </cell>
          <cell r="K133">
            <v>1.99</v>
          </cell>
          <cell r="L133">
            <v>2.16</v>
          </cell>
          <cell r="M133">
            <v>2.35</v>
          </cell>
          <cell r="N133">
            <v>2.5</v>
          </cell>
          <cell r="O133">
            <v>2.61</v>
          </cell>
          <cell r="P133">
            <v>2.68</v>
          </cell>
          <cell r="Q133">
            <v>2.71</v>
          </cell>
        </row>
        <row r="134">
          <cell r="A134" t="str">
            <v xml:space="preserve"> 1/31/55</v>
          </cell>
          <cell r="C134">
            <v>1.1000000000000001</v>
          </cell>
          <cell r="D134">
            <v>1.1100000000000001</v>
          </cell>
          <cell r="E134">
            <v>1.1200000000000001</v>
          </cell>
          <cell r="F134">
            <v>1.25</v>
          </cell>
          <cell r="G134">
            <v>1.32</v>
          </cell>
          <cell r="H134">
            <v>1.65</v>
          </cell>
          <cell r="I134">
            <v>1.82</v>
          </cell>
          <cell r="J134">
            <v>2.0099999999999998</v>
          </cell>
          <cell r="K134">
            <v>2.1</v>
          </cell>
          <cell r="L134">
            <v>2.2599999999999998</v>
          </cell>
          <cell r="M134">
            <v>2.4500000000000002</v>
          </cell>
          <cell r="N134">
            <v>2.61</v>
          </cell>
          <cell r="O134">
            <v>2.74</v>
          </cell>
          <cell r="P134">
            <v>2.8</v>
          </cell>
          <cell r="Q134">
            <v>2.82</v>
          </cell>
        </row>
        <row r="135">
          <cell r="A135" t="str">
            <v xml:space="preserve"> 2/28/55</v>
          </cell>
          <cell r="C135">
            <v>1.08</v>
          </cell>
          <cell r="D135">
            <v>1.32</v>
          </cell>
          <cell r="E135">
            <v>1.32</v>
          </cell>
          <cell r="F135">
            <v>1.58</v>
          </cell>
          <cell r="G135">
            <v>1.71</v>
          </cell>
          <cell r="H135">
            <v>2.02</v>
          </cell>
          <cell r="I135">
            <v>2.17</v>
          </cell>
          <cell r="J135">
            <v>2.2799999999999998</v>
          </cell>
          <cell r="K135">
            <v>2.34</v>
          </cell>
          <cell r="L135">
            <v>2.4500000000000002</v>
          </cell>
          <cell r="M135">
            <v>2.58</v>
          </cell>
          <cell r="N135">
            <v>2.69</v>
          </cell>
          <cell r="O135">
            <v>2.79</v>
          </cell>
          <cell r="P135">
            <v>2.89</v>
          </cell>
          <cell r="Q135">
            <v>3.07</v>
          </cell>
        </row>
        <row r="136">
          <cell r="A136" t="str">
            <v xml:space="preserve"> 3/31/55</v>
          </cell>
          <cell r="C136">
            <v>1.28</v>
          </cell>
          <cell r="D136">
            <v>1.39</v>
          </cell>
          <cell r="E136">
            <v>1.4</v>
          </cell>
          <cell r="F136">
            <v>1.46</v>
          </cell>
          <cell r="G136">
            <v>1.5</v>
          </cell>
          <cell r="H136">
            <v>1.91</v>
          </cell>
          <cell r="I136">
            <v>2.12</v>
          </cell>
          <cell r="J136">
            <v>2.27</v>
          </cell>
          <cell r="K136">
            <v>2.35</v>
          </cell>
          <cell r="L136">
            <v>2.46</v>
          </cell>
          <cell r="M136">
            <v>2.58</v>
          </cell>
          <cell r="N136">
            <v>2.68</v>
          </cell>
          <cell r="O136">
            <v>2.76</v>
          </cell>
          <cell r="P136">
            <v>2.87</v>
          </cell>
          <cell r="Q136">
            <v>3.06</v>
          </cell>
        </row>
        <row r="137">
          <cell r="A137" t="str">
            <v xml:space="preserve"> 4/29/55</v>
          </cell>
          <cell r="C137">
            <v>1.47</v>
          </cell>
          <cell r="D137">
            <v>1.55</v>
          </cell>
          <cell r="E137">
            <v>1.54</v>
          </cell>
          <cell r="F137">
            <v>1.64</v>
          </cell>
          <cell r="G137">
            <v>1.69</v>
          </cell>
          <cell r="H137">
            <v>2.02</v>
          </cell>
          <cell r="I137">
            <v>2.19</v>
          </cell>
          <cell r="J137">
            <v>2.35</v>
          </cell>
          <cell r="K137">
            <v>2.42</v>
          </cell>
          <cell r="L137">
            <v>2.52</v>
          </cell>
          <cell r="M137">
            <v>2.62</v>
          </cell>
          <cell r="N137">
            <v>2.72</v>
          </cell>
          <cell r="O137">
            <v>2.81</v>
          </cell>
          <cell r="P137">
            <v>2.89</v>
          </cell>
          <cell r="Q137">
            <v>3.04</v>
          </cell>
        </row>
        <row r="138">
          <cell r="A138" t="str">
            <v xml:space="preserve"> 5/31/55</v>
          </cell>
          <cell r="C138">
            <v>1.06</v>
          </cell>
          <cell r="D138">
            <v>1.39</v>
          </cell>
          <cell r="E138">
            <v>1.46</v>
          </cell>
          <cell r="F138">
            <v>1.69</v>
          </cell>
          <cell r="G138">
            <v>1.81</v>
          </cell>
          <cell r="H138">
            <v>2.04</v>
          </cell>
          <cell r="I138">
            <v>2.16</v>
          </cell>
          <cell r="J138">
            <v>2.33</v>
          </cell>
          <cell r="K138">
            <v>2.42</v>
          </cell>
          <cell r="L138">
            <v>2.5099999999999998</v>
          </cell>
          <cell r="M138">
            <v>2.62</v>
          </cell>
          <cell r="N138">
            <v>2.7</v>
          </cell>
          <cell r="O138">
            <v>2.77</v>
          </cell>
          <cell r="P138">
            <v>2.86</v>
          </cell>
          <cell r="Q138">
            <v>3.02</v>
          </cell>
        </row>
        <row r="139">
          <cell r="A139" t="str">
            <v xml:space="preserve"> 6/30/55</v>
          </cell>
          <cell r="C139">
            <v>1.28</v>
          </cell>
          <cell r="D139">
            <v>1.49</v>
          </cell>
          <cell r="E139">
            <v>1.57</v>
          </cell>
          <cell r="F139">
            <v>1.72</v>
          </cell>
          <cell r="G139">
            <v>1.8</v>
          </cell>
          <cell r="H139">
            <v>2.11</v>
          </cell>
          <cell r="I139">
            <v>2.27</v>
          </cell>
          <cell r="J139">
            <v>2.44</v>
          </cell>
          <cell r="K139">
            <v>2.5299999999999998</v>
          </cell>
          <cell r="L139">
            <v>2.63</v>
          </cell>
          <cell r="M139">
            <v>2.75</v>
          </cell>
          <cell r="N139">
            <v>2.82</v>
          </cell>
          <cell r="O139">
            <v>2.86</v>
          </cell>
          <cell r="P139">
            <v>2.92</v>
          </cell>
          <cell r="Q139">
            <v>3.03</v>
          </cell>
        </row>
        <row r="140">
          <cell r="A140" t="str">
            <v xml:space="preserve"> 7/29/55</v>
          </cell>
          <cell r="C140">
            <v>1.71</v>
          </cell>
          <cell r="D140">
            <v>1.79</v>
          </cell>
          <cell r="E140">
            <v>1.78</v>
          </cell>
          <cell r="F140">
            <v>1.93</v>
          </cell>
          <cell r="G140">
            <v>2</v>
          </cell>
          <cell r="H140">
            <v>2.35</v>
          </cell>
          <cell r="I140">
            <v>2.52</v>
          </cell>
          <cell r="J140">
            <v>2.64</v>
          </cell>
          <cell r="K140">
            <v>2.7</v>
          </cell>
          <cell r="L140">
            <v>2.82</v>
          </cell>
          <cell r="M140">
            <v>2.95</v>
          </cell>
          <cell r="N140">
            <v>2.99</v>
          </cell>
          <cell r="O140">
            <v>2.99</v>
          </cell>
          <cell r="P140">
            <v>3.01</v>
          </cell>
          <cell r="Q140">
            <v>3.05</v>
          </cell>
        </row>
        <row r="141">
          <cell r="A141" t="str">
            <v xml:space="preserve"> 8/31/55</v>
          </cell>
          <cell r="C141">
            <v>1.98</v>
          </cell>
          <cell r="D141">
            <v>2.11</v>
          </cell>
          <cell r="E141">
            <v>1.97</v>
          </cell>
          <cell r="F141">
            <v>2.13</v>
          </cell>
          <cell r="G141">
            <v>2.21</v>
          </cell>
          <cell r="H141">
            <v>2.5</v>
          </cell>
          <cell r="I141">
            <v>2.65</v>
          </cell>
          <cell r="J141">
            <v>2.76</v>
          </cell>
          <cell r="K141">
            <v>2.82</v>
          </cell>
          <cell r="L141">
            <v>2.88</v>
          </cell>
          <cell r="M141">
            <v>2.94</v>
          </cell>
          <cell r="N141">
            <v>2.96</v>
          </cell>
          <cell r="O141">
            <v>2.95</v>
          </cell>
          <cell r="P141">
            <v>2.99</v>
          </cell>
          <cell r="Q141">
            <v>3.07</v>
          </cell>
        </row>
        <row r="142">
          <cell r="A142" t="str">
            <v xml:space="preserve"> 9/30/55</v>
          </cell>
          <cell r="C142">
            <v>2.13</v>
          </cell>
          <cell r="D142">
            <v>2.15</v>
          </cell>
          <cell r="E142">
            <v>2.09</v>
          </cell>
          <cell r="F142">
            <v>2.16</v>
          </cell>
          <cell r="G142">
            <v>2.2000000000000002</v>
          </cell>
          <cell r="H142">
            <v>2.35</v>
          </cell>
          <cell r="I142">
            <v>2.42</v>
          </cell>
          <cell r="J142">
            <v>2.6</v>
          </cell>
          <cell r="K142">
            <v>2.69</v>
          </cell>
          <cell r="L142">
            <v>2.76</v>
          </cell>
          <cell r="M142">
            <v>2.83</v>
          </cell>
          <cell r="N142">
            <v>2.87</v>
          </cell>
          <cell r="O142">
            <v>2.9</v>
          </cell>
          <cell r="P142">
            <v>2.95</v>
          </cell>
          <cell r="Q142">
            <v>3.04</v>
          </cell>
        </row>
        <row r="143">
          <cell r="A143" t="str">
            <v>10/31/55</v>
          </cell>
          <cell r="C143">
            <v>2.04</v>
          </cell>
          <cell r="D143">
            <v>2.08</v>
          </cell>
          <cell r="E143">
            <v>2.02</v>
          </cell>
          <cell r="F143">
            <v>2.1800000000000002</v>
          </cell>
          <cell r="G143">
            <v>2.27</v>
          </cell>
          <cell r="H143">
            <v>2.37</v>
          </cell>
          <cell r="I143">
            <v>2.42</v>
          </cell>
          <cell r="J143">
            <v>2.57</v>
          </cell>
          <cell r="K143">
            <v>2.64</v>
          </cell>
          <cell r="L143">
            <v>2.69</v>
          </cell>
          <cell r="M143">
            <v>2.73</v>
          </cell>
          <cell r="N143">
            <v>2.78</v>
          </cell>
          <cell r="O143">
            <v>2.83</v>
          </cell>
          <cell r="P143">
            <v>2.9</v>
          </cell>
          <cell r="Q143">
            <v>3.03</v>
          </cell>
        </row>
        <row r="144">
          <cell r="A144" t="str">
            <v>11/30/55</v>
          </cell>
          <cell r="C144">
            <v>2</v>
          </cell>
          <cell r="D144">
            <v>2.4300000000000002</v>
          </cell>
          <cell r="E144">
            <v>2.29</v>
          </cell>
          <cell r="F144">
            <v>2.4900000000000002</v>
          </cell>
          <cell r="G144">
            <v>2.58</v>
          </cell>
          <cell r="H144">
            <v>2.7</v>
          </cell>
          <cell r="I144">
            <v>2.76</v>
          </cell>
          <cell r="J144">
            <v>2.79</v>
          </cell>
          <cell r="K144">
            <v>2.81</v>
          </cell>
          <cell r="L144">
            <v>2.83</v>
          </cell>
          <cell r="M144">
            <v>2.85</v>
          </cell>
          <cell r="N144">
            <v>2.87</v>
          </cell>
          <cell r="O144">
            <v>2.89</v>
          </cell>
          <cell r="P144">
            <v>2.94</v>
          </cell>
          <cell r="Q144">
            <v>3.03</v>
          </cell>
        </row>
        <row r="145">
          <cell r="A145" t="str">
            <v>12/30/55</v>
          </cell>
          <cell r="C145">
            <v>2.42</v>
          </cell>
          <cell r="D145">
            <v>2.5099999999999998</v>
          </cell>
          <cell r="E145">
            <v>2.61</v>
          </cell>
          <cell r="F145">
            <v>2.66</v>
          </cell>
          <cell r="G145">
            <v>2.68</v>
          </cell>
          <cell r="H145">
            <v>2.78</v>
          </cell>
          <cell r="I145">
            <v>2.83</v>
          </cell>
          <cell r="J145">
            <v>2.86</v>
          </cell>
          <cell r="K145">
            <v>2.87</v>
          </cell>
          <cell r="L145">
            <v>2.88</v>
          </cell>
          <cell r="M145">
            <v>2.9</v>
          </cell>
          <cell r="N145">
            <v>2.91</v>
          </cell>
          <cell r="O145">
            <v>2.92</v>
          </cell>
          <cell r="P145">
            <v>2.95</v>
          </cell>
          <cell r="Q145">
            <v>3</v>
          </cell>
        </row>
        <row r="146">
          <cell r="A146" t="str">
            <v xml:space="preserve"> 1/31/56</v>
          </cell>
          <cell r="C146">
            <v>2.2799999999999998</v>
          </cell>
          <cell r="D146">
            <v>2.36</v>
          </cell>
          <cell r="E146">
            <v>2.35</v>
          </cell>
          <cell r="F146">
            <v>2.33</v>
          </cell>
          <cell r="G146">
            <v>2.31</v>
          </cell>
          <cell r="H146">
            <v>2.4900000000000002</v>
          </cell>
          <cell r="I146">
            <v>2.58</v>
          </cell>
          <cell r="J146">
            <v>2.65</v>
          </cell>
          <cell r="K146">
            <v>2.68</v>
          </cell>
          <cell r="L146">
            <v>2.72</v>
          </cell>
          <cell r="M146">
            <v>2.77</v>
          </cell>
          <cell r="N146">
            <v>2.81</v>
          </cell>
          <cell r="O146">
            <v>2.84</v>
          </cell>
          <cell r="P146">
            <v>2.9</v>
          </cell>
          <cell r="Q146">
            <v>3.01</v>
          </cell>
        </row>
        <row r="147">
          <cell r="A147" t="str">
            <v xml:space="preserve"> 2/29/56</v>
          </cell>
          <cell r="C147">
            <v>1.95</v>
          </cell>
          <cell r="D147">
            <v>2.3199999999999998</v>
          </cell>
          <cell r="E147">
            <v>2.31</v>
          </cell>
          <cell r="F147">
            <v>2.44</v>
          </cell>
          <cell r="G147">
            <v>2.5</v>
          </cell>
          <cell r="H147">
            <v>2.6</v>
          </cell>
          <cell r="I147">
            <v>2.65</v>
          </cell>
          <cell r="J147">
            <v>2.71</v>
          </cell>
          <cell r="K147">
            <v>2.74</v>
          </cell>
          <cell r="L147">
            <v>2.77</v>
          </cell>
          <cell r="M147">
            <v>2.8</v>
          </cell>
          <cell r="N147">
            <v>2.83</v>
          </cell>
          <cell r="O147">
            <v>2.87</v>
          </cell>
          <cell r="P147">
            <v>2.92</v>
          </cell>
          <cell r="Q147">
            <v>3.01</v>
          </cell>
        </row>
        <row r="148">
          <cell r="A148" t="str">
            <v xml:space="preserve"> 3/29/56</v>
          </cell>
          <cell r="C148">
            <v>2.21</v>
          </cell>
          <cell r="D148">
            <v>2.2599999999999998</v>
          </cell>
          <cell r="E148">
            <v>2.23</v>
          </cell>
          <cell r="F148">
            <v>2.52</v>
          </cell>
          <cell r="G148">
            <v>2.68</v>
          </cell>
          <cell r="H148">
            <v>2.86</v>
          </cell>
          <cell r="I148">
            <v>2.96</v>
          </cell>
          <cell r="J148">
            <v>2.99</v>
          </cell>
          <cell r="K148">
            <v>3.01</v>
          </cell>
          <cell r="L148">
            <v>3.04</v>
          </cell>
          <cell r="M148">
            <v>3.07</v>
          </cell>
          <cell r="N148">
            <v>3.06</v>
          </cell>
          <cell r="O148">
            <v>3.02</v>
          </cell>
          <cell r="P148">
            <v>3.03</v>
          </cell>
          <cell r="Q148">
            <v>3.05</v>
          </cell>
        </row>
        <row r="149">
          <cell r="A149" t="str">
            <v xml:space="preserve"> 4/30/56</v>
          </cell>
          <cell r="C149">
            <v>2.62</v>
          </cell>
          <cell r="D149">
            <v>2.69</v>
          </cell>
          <cell r="E149">
            <v>2.65</v>
          </cell>
          <cell r="F149">
            <v>2.91</v>
          </cell>
          <cell r="G149">
            <v>3.04</v>
          </cell>
          <cell r="H149">
            <v>3.21</v>
          </cell>
          <cell r="I149">
            <v>3.3</v>
          </cell>
          <cell r="J149">
            <v>3.22</v>
          </cell>
          <cell r="K149">
            <v>3.18</v>
          </cell>
          <cell r="L149">
            <v>3.16</v>
          </cell>
          <cell r="M149">
            <v>3.13</v>
          </cell>
          <cell r="N149">
            <v>3.09</v>
          </cell>
          <cell r="O149">
            <v>3.06</v>
          </cell>
          <cell r="P149">
            <v>3.07</v>
          </cell>
          <cell r="Q149">
            <v>3.12</v>
          </cell>
        </row>
        <row r="150">
          <cell r="A150" t="str">
            <v xml:space="preserve"> 5/31/56</v>
          </cell>
          <cell r="C150">
            <v>2.33</v>
          </cell>
          <cell r="D150">
            <v>2.5299999999999998</v>
          </cell>
          <cell r="E150">
            <v>2.5</v>
          </cell>
          <cell r="F150">
            <v>2.77</v>
          </cell>
          <cell r="G150">
            <v>2.91</v>
          </cell>
          <cell r="H150">
            <v>2.94</v>
          </cell>
          <cell r="I150">
            <v>2.96</v>
          </cell>
          <cell r="J150">
            <v>2.98</v>
          </cell>
          <cell r="K150">
            <v>2.99</v>
          </cell>
          <cell r="L150">
            <v>2.96</v>
          </cell>
          <cell r="M150">
            <v>2.93</v>
          </cell>
          <cell r="N150">
            <v>2.92</v>
          </cell>
          <cell r="O150">
            <v>2.91</v>
          </cell>
          <cell r="P150">
            <v>2.96</v>
          </cell>
          <cell r="Q150">
            <v>3.04</v>
          </cell>
        </row>
        <row r="151">
          <cell r="A151" t="str">
            <v xml:space="preserve"> 6/29/56</v>
          </cell>
          <cell r="C151">
            <v>2.3199999999999998</v>
          </cell>
          <cell r="D151">
            <v>2.4300000000000002</v>
          </cell>
          <cell r="E151">
            <v>2.41</v>
          </cell>
          <cell r="F151">
            <v>2.56</v>
          </cell>
          <cell r="G151">
            <v>2.64</v>
          </cell>
          <cell r="H151">
            <v>2.79</v>
          </cell>
          <cell r="I151">
            <v>2.87</v>
          </cell>
          <cell r="J151">
            <v>2.92</v>
          </cell>
          <cell r="K151">
            <v>2.94</v>
          </cell>
          <cell r="L151">
            <v>2.96</v>
          </cell>
          <cell r="M151">
            <v>2.99</v>
          </cell>
          <cell r="N151">
            <v>2.97</v>
          </cell>
          <cell r="O151">
            <v>2.94</v>
          </cell>
          <cell r="P151">
            <v>2.96</v>
          </cell>
          <cell r="Q151">
            <v>3.02</v>
          </cell>
        </row>
        <row r="152">
          <cell r="A152" t="str">
            <v xml:space="preserve"> 7/31/56</v>
          </cell>
          <cell r="C152">
            <v>2.0699999999999998</v>
          </cell>
          <cell r="D152">
            <v>2.37</v>
          </cell>
          <cell r="E152">
            <v>2.58</v>
          </cell>
          <cell r="F152">
            <v>2.79</v>
          </cell>
          <cell r="G152">
            <v>2.9</v>
          </cell>
          <cell r="H152">
            <v>3.1</v>
          </cell>
          <cell r="I152">
            <v>3.2</v>
          </cell>
          <cell r="J152">
            <v>3.23</v>
          </cell>
          <cell r="K152">
            <v>3.25</v>
          </cell>
          <cell r="L152">
            <v>3.25</v>
          </cell>
          <cell r="M152">
            <v>3.25</v>
          </cell>
          <cell r="N152">
            <v>3.18</v>
          </cell>
          <cell r="O152">
            <v>3.09</v>
          </cell>
          <cell r="P152">
            <v>3.1</v>
          </cell>
          <cell r="Q152">
            <v>3.13</v>
          </cell>
        </row>
        <row r="153">
          <cell r="A153" t="str">
            <v xml:space="preserve"> 8/31/56</v>
          </cell>
          <cell r="C153">
            <v>2.39</v>
          </cell>
          <cell r="D153">
            <v>2.69</v>
          </cell>
          <cell r="E153">
            <v>2.98</v>
          </cell>
          <cell r="F153">
            <v>3.12</v>
          </cell>
          <cell r="G153">
            <v>3.19</v>
          </cell>
          <cell r="H153">
            <v>3.38</v>
          </cell>
          <cell r="I153">
            <v>3.48</v>
          </cell>
          <cell r="J153">
            <v>3.54</v>
          </cell>
          <cell r="K153">
            <v>3.57</v>
          </cell>
          <cell r="L153">
            <v>3.52</v>
          </cell>
          <cell r="M153">
            <v>3.47</v>
          </cell>
          <cell r="N153">
            <v>3.38</v>
          </cell>
          <cell r="O153">
            <v>3.29</v>
          </cell>
          <cell r="P153">
            <v>3.25</v>
          </cell>
          <cell r="Q153">
            <v>3.19</v>
          </cell>
        </row>
        <row r="154">
          <cell r="A154" t="str">
            <v xml:space="preserve"> 9/28/56</v>
          </cell>
          <cell r="C154">
            <v>2.68</v>
          </cell>
          <cell r="D154">
            <v>2.92</v>
          </cell>
          <cell r="E154">
            <v>3.19</v>
          </cell>
          <cell r="F154">
            <v>3.23</v>
          </cell>
          <cell r="G154">
            <v>3.25</v>
          </cell>
          <cell r="H154">
            <v>3.43</v>
          </cell>
          <cell r="I154">
            <v>3.53</v>
          </cell>
          <cell r="J154">
            <v>3.52</v>
          </cell>
          <cell r="K154">
            <v>3.52</v>
          </cell>
          <cell r="L154">
            <v>3.45</v>
          </cell>
          <cell r="M154">
            <v>3.37</v>
          </cell>
          <cell r="N154">
            <v>3.3</v>
          </cell>
          <cell r="O154">
            <v>3.24</v>
          </cell>
          <cell r="P154">
            <v>3.22</v>
          </cell>
          <cell r="Q154">
            <v>3.21</v>
          </cell>
        </row>
        <row r="155">
          <cell r="A155" t="str">
            <v>10/31/56</v>
          </cell>
          <cell r="C155">
            <v>2.56</v>
          </cell>
          <cell r="D155">
            <v>2.9</v>
          </cell>
          <cell r="E155">
            <v>3</v>
          </cell>
          <cell r="F155">
            <v>3.15</v>
          </cell>
          <cell r="G155">
            <v>3.22</v>
          </cell>
          <cell r="H155">
            <v>3.37</v>
          </cell>
          <cell r="I155">
            <v>3.44</v>
          </cell>
          <cell r="J155">
            <v>3.49</v>
          </cell>
          <cell r="K155">
            <v>3.52</v>
          </cell>
          <cell r="L155">
            <v>3.5</v>
          </cell>
          <cell r="M155">
            <v>3.49</v>
          </cell>
          <cell r="N155">
            <v>3.41</v>
          </cell>
          <cell r="O155">
            <v>3.33</v>
          </cell>
          <cell r="P155">
            <v>3.29</v>
          </cell>
          <cell r="Q155">
            <v>3.24</v>
          </cell>
        </row>
        <row r="156">
          <cell r="A156" t="str">
            <v>11/30/56</v>
          </cell>
          <cell r="C156">
            <v>2.5299999999999998</v>
          </cell>
          <cell r="D156">
            <v>3.12</v>
          </cell>
          <cell r="E156">
            <v>3.19</v>
          </cell>
          <cell r="F156">
            <v>3.36</v>
          </cell>
          <cell r="G156">
            <v>3.44</v>
          </cell>
          <cell r="H156">
            <v>3.71</v>
          </cell>
          <cell r="I156">
            <v>3.85</v>
          </cell>
          <cell r="J156">
            <v>3.77</v>
          </cell>
          <cell r="K156">
            <v>3.73</v>
          </cell>
          <cell r="L156">
            <v>3.65</v>
          </cell>
          <cell r="M156">
            <v>3.56</v>
          </cell>
          <cell r="N156">
            <v>3.48</v>
          </cell>
          <cell r="O156">
            <v>3.42</v>
          </cell>
          <cell r="P156">
            <v>3.36</v>
          </cell>
          <cell r="Q156">
            <v>3.26</v>
          </cell>
        </row>
        <row r="157">
          <cell r="A157" t="str">
            <v>12/31/56</v>
          </cell>
          <cell r="C157">
            <v>3.06</v>
          </cell>
          <cell r="D157">
            <v>3.32</v>
          </cell>
          <cell r="E157">
            <v>3.26</v>
          </cell>
          <cell r="F157">
            <v>3.47</v>
          </cell>
          <cell r="G157">
            <v>3.57</v>
          </cell>
          <cell r="H157">
            <v>3.7</v>
          </cell>
          <cell r="I157">
            <v>3.76</v>
          </cell>
          <cell r="J157">
            <v>3.73</v>
          </cell>
          <cell r="K157">
            <v>3.72</v>
          </cell>
          <cell r="L157">
            <v>3.7</v>
          </cell>
          <cell r="M157">
            <v>3.67</v>
          </cell>
          <cell r="N157">
            <v>3.66</v>
          </cell>
          <cell r="O157">
            <v>3.65</v>
          </cell>
          <cell r="P157">
            <v>3.54</v>
          </cell>
          <cell r="Q157">
            <v>3.34</v>
          </cell>
        </row>
        <row r="158">
          <cell r="A158" t="str">
            <v xml:space="preserve"> 1/31/57</v>
          </cell>
          <cell r="C158">
            <v>3.05</v>
          </cell>
          <cell r="D158">
            <v>3.19</v>
          </cell>
          <cell r="E158">
            <v>3.1</v>
          </cell>
          <cell r="F158">
            <v>3.15</v>
          </cell>
          <cell r="G158">
            <v>3.17</v>
          </cell>
          <cell r="H158">
            <v>3.34</v>
          </cell>
          <cell r="I158">
            <v>3.42</v>
          </cell>
          <cell r="J158">
            <v>3.42</v>
          </cell>
          <cell r="K158">
            <v>3.42</v>
          </cell>
          <cell r="L158">
            <v>3.36</v>
          </cell>
          <cell r="M158">
            <v>3.31</v>
          </cell>
          <cell r="N158">
            <v>3.27</v>
          </cell>
          <cell r="O158">
            <v>3.25</v>
          </cell>
          <cell r="P158">
            <v>3.26</v>
          </cell>
          <cell r="Q158">
            <v>3.27</v>
          </cell>
        </row>
        <row r="159">
          <cell r="A159" t="str">
            <v xml:space="preserve"> 2/28/57</v>
          </cell>
          <cell r="C159">
            <v>2.88</v>
          </cell>
          <cell r="D159">
            <v>3.35</v>
          </cell>
          <cell r="E159">
            <v>3.2</v>
          </cell>
          <cell r="F159">
            <v>3.31</v>
          </cell>
          <cell r="G159">
            <v>3.37</v>
          </cell>
          <cell r="H159">
            <v>3.49</v>
          </cell>
          <cell r="I159">
            <v>3.56</v>
          </cell>
          <cell r="J159">
            <v>3.52</v>
          </cell>
          <cell r="K159">
            <v>3.5</v>
          </cell>
          <cell r="L159">
            <v>3.45</v>
          </cell>
          <cell r="M159">
            <v>3.39</v>
          </cell>
          <cell r="N159">
            <v>3.38</v>
          </cell>
          <cell r="O159">
            <v>3.38</v>
          </cell>
          <cell r="P159">
            <v>3.32</v>
          </cell>
          <cell r="Q159">
            <v>3.21</v>
          </cell>
        </row>
        <row r="160">
          <cell r="A160" t="str">
            <v xml:space="preserve"> 3/29/57</v>
          </cell>
          <cell r="C160">
            <v>2.84</v>
          </cell>
          <cell r="D160">
            <v>3.08</v>
          </cell>
          <cell r="E160">
            <v>3.02</v>
          </cell>
          <cell r="F160">
            <v>3.26</v>
          </cell>
          <cell r="G160">
            <v>3.39</v>
          </cell>
          <cell r="H160">
            <v>3.44</v>
          </cell>
          <cell r="I160">
            <v>3.47</v>
          </cell>
          <cell r="J160">
            <v>3.49</v>
          </cell>
          <cell r="K160">
            <v>3.51</v>
          </cell>
          <cell r="L160">
            <v>3.46</v>
          </cell>
          <cell r="M160">
            <v>3.4</v>
          </cell>
          <cell r="N160">
            <v>3.35</v>
          </cell>
          <cell r="O160">
            <v>3.31</v>
          </cell>
          <cell r="P160">
            <v>3.29</v>
          </cell>
          <cell r="Q160">
            <v>3.28</v>
          </cell>
        </row>
        <row r="161">
          <cell r="A161" t="str">
            <v xml:space="preserve"> 4/30/57</v>
          </cell>
          <cell r="C161">
            <v>3.06</v>
          </cell>
          <cell r="D161">
            <v>3.09</v>
          </cell>
          <cell r="E161">
            <v>3.07</v>
          </cell>
          <cell r="F161">
            <v>3.39</v>
          </cell>
          <cell r="G161">
            <v>3.55</v>
          </cell>
          <cell r="H161">
            <v>3.57</v>
          </cell>
          <cell r="I161">
            <v>3.58</v>
          </cell>
          <cell r="J161">
            <v>3.63</v>
          </cell>
          <cell r="K161">
            <v>3.66</v>
          </cell>
          <cell r="L161">
            <v>3.65</v>
          </cell>
          <cell r="M161">
            <v>3.64</v>
          </cell>
          <cell r="N161">
            <v>3.56</v>
          </cell>
          <cell r="O161">
            <v>3.45</v>
          </cell>
          <cell r="P161">
            <v>3.43</v>
          </cell>
          <cell r="Q161">
            <v>3.41</v>
          </cell>
        </row>
        <row r="162">
          <cell r="A162" t="str">
            <v xml:space="preserve"> 5/31/57</v>
          </cell>
          <cell r="C162">
            <v>3.15</v>
          </cell>
          <cell r="D162">
            <v>3.34</v>
          </cell>
          <cell r="E162">
            <v>3.26</v>
          </cell>
          <cell r="F162">
            <v>3.47</v>
          </cell>
          <cell r="G162">
            <v>3.58</v>
          </cell>
          <cell r="H162">
            <v>3.63</v>
          </cell>
          <cell r="I162">
            <v>3.65</v>
          </cell>
          <cell r="J162">
            <v>3.73</v>
          </cell>
          <cell r="K162">
            <v>3.77</v>
          </cell>
          <cell r="L162">
            <v>3.78</v>
          </cell>
          <cell r="M162">
            <v>3.79</v>
          </cell>
          <cell r="N162">
            <v>3.72</v>
          </cell>
          <cell r="O162">
            <v>3.62</v>
          </cell>
          <cell r="P162">
            <v>3.52</v>
          </cell>
          <cell r="Q162">
            <v>3.37</v>
          </cell>
        </row>
        <row r="163">
          <cell r="A163" t="str">
            <v xml:space="preserve"> 6/27/57</v>
          </cell>
          <cell r="C163">
            <v>3</v>
          </cell>
          <cell r="D163">
            <v>3.35</v>
          </cell>
          <cell r="E163">
            <v>3.67</v>
          </cell>
          <cell r="F163">
            <v>3.68</v>
          </cell>
          <cell r="G163">
            <v>3.68</v>
          </cell>
          <cell r="H163">
            <v>3.84</v>
          </cell>
          <cell r="I163">
            <v>3.92</v>
          </cell>
          <cell r="J163">
            <v>3.93</v>
          </cell>
          <cell r="K163">
            <v>3.94</v>
          </cell>
          <cell r="L163">
            <v>4</v>
          </cell>
          <cell r="M163">
            <v>4.07</v>
          </cell>
          <cell r="N163">
            <v>3.98</v>
          </cell>
          <cell r="O163">
            <v>3.81</v>
          </cell>
          <cell r="P163">
            <v>3.68</v>
          </cell>
          <cell r="Q163">
            <v>3.48</v>
          </cell>
        </row>
        <row r="164">
          <cell r="A164" t="str">
            <v xml:space="preserve"> 7/31/57</v>
          </cell>
          <cell r="C164">
            <v>3.08</v>
          </cell>
          <cell r="D164">
            <v>3.4</v>
          </cell>
          <cell r="E164">
            <v>3.58</v>
          </cell>
          <cell r="F164">
            <v>3.8</v>
          </cell>
          <cell r="G164">
            <v>3.91</v>
          </cell>
          <cell r="H164">
            <v>3.92</v>
          </cell>
          <cell r="I164">
            <v>3.93</v>
          </cell>
          <cell r="J164">
            <v>4</v>
          </cell>
          <cell r="K164">
            <v>4.04</v>
          </cell>
          <cell r="L164">
            <v>4.07</v>
          </cell>
          <cell r="M164">
            <v>4.0999999999999996</v>
          </cell>
          <cell r="N164">
            <v>3.94</v>
          </cell>
          <cell r="O164">
            <v>3.72</v>
          </cell>
          <cell r="P164">
            <v>3.64</v>
          </cell>
          <cell r="Q164">
            <v>3.53</v>
          </cell>
        </row>
        <row r="165">
          <cell r="A165" t="str">
            <v xml:space="preserve"> 8/30/57</v>
          </cell>
          <cell r="C165">
            <v>3.06</v>
          </cell>
          <cell r="D165">
            <v>3.55</v>
          </cell>
          <cell r="E165">
            <v>4.0999999999999996</v>
          </cell>
          <cell r="F165">
            <v>4.0199999999999996</v>
          </cell>
          <cell r="G165">
            <v>3.98</v>
          </cell>
          <cell r="H165">
            <v>4.04</v>
          </cell>
          <cell r="I165">
            <v>4.07</v>
          </cell>
          <cell r="J165">
            <v>4.01</v>
          </cell>
          <cell r="K165">
            <v>3.98</v>
          </cell>
          <cell r="L165">
            <v>3.96</v>
          </cell>
          <cell r="M165">
            <v>3.93</v>
          </cell>
          <cell r="N165">
            <v>3.84</v>
          </cell>
          <cell r="O165">
            <v>3.72</v>
          </cell>
          <cell r="P165">
            <v>3.66</v>
          </cell>
          <cell r="Q165">
            <v>3.57</v>
          </cell>
        </row>
        <row r="166">
          <cell r="A166" t="str">
            <v xml:space="preserve"> 9/30/57</v>
          </cell>
          <cell r="C166">
            <v>3.07</v>
          </cell>
          <cell r="D166">
            <v>3.55</v>
          </cell>
          <cell r="E166">
            <v>4.04</v>
          </cell>
          <cell r="F166">
            <v>4.1399999999999997</v>
          </cell>
          <cell r="G166">
            <v>4.1900000000000004</v>
          </cell>
          <cell r="H166">
            <v>4.0999999999999996</v>
          </cell>
          <cell r="I166">
            <v>4.0599999999999996</v>
          </cell>
          <cell r="J166">
            <v>4.0999999999999996</v>
          </cell>
          <cell r="K166">
            <v>4.12</v>
          </cell>
          <cell r="L166">
            <v>4.05</v>
          </cell>
          <cell r="M166">
            <v>3.96</v>
          </cell>
          <cell r="N166">
            <v>3.92</v>
          </cell>
          <cell r="O166">
            <v>3.89</v>
          </cell>
          <cell r="P166">
            <v>3.73</v>
          </cell>
          <cell r="Q166">
            <v>3.44</v>
          </cell>
        </row>
        <row r="167">
          <cell r="A167" t="str">
            <v>10/31/57</v>
          </cell>
          <cell r="C167">
            <v>3.34</v>
          </cell>
          <cell r="D167">
            <v>3.7</v>
          </cell>
          <cell r="E167">
            <v>3.83</v>
          </cell>
          <cell r="F167">
            <v>3.94</v>
          </cell>
          <cell r="G167">
            <v>3.99</v>
          </cell>
          <cell r="H167">
            <v>3.99</v>
          </cell>
          <cell r="I167">
            <v>3.99</v>
          </cell>
          <cell r="J167">
            <v>4.0999999999999996</v>
          </cell>
          <cell r="K167">
            <v>4.16</v>
          </cell>
          <cell r="L167">
            <v>4.03</v>
          </cell>
          <cell r="M167">
            <v>3.89</v>
          </cell>
          <cell r="N167">
            <v>3.88</v>
          </cell>
          <cell r="O167">
            <v>3.92</v>
          </cell>
          <cell r="P167">
            <v>3.78</v>
          </cell>
          <cell r="Q167">
            <v>3.5</v>
          </cell>
        </row>
        <row r="168">
          <cell r="A168" t="str">
            <v>11/29/57</v>
          </cell>
          <cell r="C168">
            <v>2.5299999999999998</v>
          </cell>
          <cell r="D168">
            <v>3.17</v>
          </cell>
          <cell r="E168">
            <v>3.28</v>
          </cell>
          <cell r="F168">
            <v>3.38</v>
          </cell>
          <cell r="G168">
            <v>3.43</v>
          </cell>
          <cell r="H168">
            <v>3.28</v>
          </cell>
          <cell r="I168">
            <v>3.21</v>
          </cell>
          <cell r="J168">
            <v>3.33</v>
          </cell>
          <cell r="K168">
            <v>3.39</v>
          </cell>
          <cell r="L168">
            <v>3.26</v>
          </cell>
          <cell r="M168">
            <v>3.12</v>
          </cell>
          <cell r="N168">
            <v>3.27</v>
          </cell>
          <cell r="O168">
            <v>3.52</v>
          </cell>
          <cell r="P168">
            <v>3.49</v>
          </cell>
          <cell r="Q168">
            <v>3.36</v>
          </cell>
        </row>
        <row r="169">
          <cell r="A169" t="str">
            <v>12/31/57</v>
          </cell>
          <cell r="C169">
            <v>2.71</v>
          </cell>
          <cell r="D169">
            <v>2.8</v>
          </cell>
          <cell r="E169">
            <v>2.92</v>
          </cell>
          <cell r="F169">
            <v>2.85</v>
          </cell>
          <cell r="G169">
            <v>2.81</v>
          </cell>
          <cell r="H169">
            <v>2.77</v>
          </cell>
          <cell r="I169">
            <v>2.75</v>
          </cell>
          <cell r="J169">
            <v>2.79</v>
          </cell>
          <cell r="K169">
            <v>2.81</v>
          </cell>
          <cell r="L169">
            <v>2.83</v>
          </cell>
          <cell r="M169">
            <v>2.85</v>
          </cell>
          <cell r="N169">
            <v>3.02</v>
          </cell>
          <cell r="O169">
            <v>3.24</v>
          </cell>
          <cell r="P169">
            <v>3.26</v>
          </cell>
          <cell r="Q169">
            <v>3.25</v>
          </cell>
        </row>
        <row r="170">
          <cell r="A170" t="str">
            <v xml:space="preserve"> 1/31/58</v>
          </cell>
          <cell r="C170">
            <v>1.5</v>
          </cell>
          <cell r="D170">
            <v>1.47</v>
          </cell>
          <cell r="E170">
            <v>1.89</v>
          </cell>
          <cell r="F170">
            <v>2.0299999999999998</v>
          </cell>
          <cell r="G170">
            <v>2.1</v>
          </cell>
          <cell r="H170">
            <v>2.29</v>
          </cell>
          <cell r="I170">
            <v>2.38</v>
          </cell>
          <cell r="J170">
            <v>2.65</v>
          </cell>
          <cell r="K170">
            <v>2.79</v>
          </cell>
          <cell r="L170">
            <v>2.82</v>
          </cell>
          <cell r="M170">
            <v>2.86</v>
          </cell>
          <cell r="N170">
            <v>3.05</v>
          </cell>
          <cell r="O170">
            <v>3.29</v>
          </cell>
          <cell r="P170">
            <v>3.35</v>
          </cell>
          <cell r="Q170">
            <v>3.38</v>
          </cell>
        </row>
        <row r="171">
          <cell r="A171" t="str">
            <v xml:space="preserve"> 2/28/58</v>
          </cell>
          <cell r="C171">
            <v>1.1100000000000001</v>
          </cell>
          <cell r="D171">
            <v>1.27</v>
          </cell>
          <cell r="E171">
            <v>1.34</v>
          </cell>
          <cell r="F171">
            <v>1.59</v>
          </cell>
          <cell r="G171">
            <v>1.72</v>
          </cell>
          <cell r="H171">
            <v>1.88</v>
          </cell>
          <cell r="I171">
            <v>1.95</v>
          </cell>
          <cell r="J171">
            <v>2.33</v>
          </cell>
          <cell r="K171">
            <v>2.52</v>
          </cell>
          <cell r="L171">
            <v>2.6</v>
          </cell>
          <cell r="M171">
            <v>2.69</v>
          </cell>
          <cell r="N171">
            <v>2.92</v>
          </cell>
          <cell r="O171">
            <v>3.18</v>
          </cell>
          <cell r="P171">
            <v>3.29</v>
          </cell>
          <cell r="Q171">
            <v>3.43</v>
          </cell>
        </row>
        <row r="172">
          <cell r="A172" t="str">
            <v xml:space="preserve"> 3/31/58</v>
          </cell>
          <cell r="C172">
            <v>0.99</v>
          </cell>
          <cell r="D172">
            <v>1.18</v>
          </cell>
          <cell r="E172">
            <v>1.33</v>
          </cell>
          <cell r="F172">
            <v>1.53</v>
          </cell>
          <cell r="G172">
            <v>1.63</v>
          </cell>
          <cell r="H172">
            <v>1.82</v>
          </cell>
          <cell r="I172">
            <v>1.91</v>
          </cell>
          <cell r="J172">
            <v>2.2599999999999998</v>
          </cell>
          <cell r="K172">
            <v>2.44</v>
          </cell>
          <cell r="L172">
            <v>2.54</v>
          </cell>
          <cell r="M172">
            <v>2.65</v>
          </cell>
          <cell r="N172">
            <v>2.86</v>
          </cell>
          <cell r="O172">
            <v>3.1</v>
          </cell>
          <cell r="P172">
            <v>3.23</v>
          </cell>
          <cell r="Q172">
            <v>3.41</v>
          </cell>
        </row>
        <row r="173">
          <cell r="A173" t="str">
            <v xml:space="preserve"> 4/30/58</v>
          </cell>
          <cell r="C173">
            <v>1.1599999999999999</v>
          </cell>
          <cell r="D173">
            <v>1.17</v>
          </cell>
          <cell r="E173">
            <v>0.99</v>
          </cell>
          <cell r="F173">
            <v>1.25</v>
          </cell>
          <cell r="G173">
            <v>1.38</v>
          </cell>
          <cell r="H173">
            <v>1.52</v>
          </cell>
          <cell r="I173">
            <v>1.59</v>
          </cell>
          <cell r="J173">
            <v>2.0499999999999998</v>
          </cell>
          <cell r="K173">
            <v>2.2799999999999998</v>
          </cell>
          <cell r="L173">
            <v>2.41</v>
          </cell>
          <cell r="M173">
            <v>2.5499999999999998</v>
          </cell>
          <cell r="N173">
            <v>2.82</v>
          </cell>
          <cell r="O173">
            <v>3.12</v>
          </cell>
          <cell r="P173">
            <v>3.19</v>
          </cell>
          <cell r="Q173">
            <v>3.26</v>
          </cell>
        </row>
        <row r="174">
          <cell r="A174" t="str">
            <v xml:space="preserve"> 5/29/58</v>
          </cell>
          <cell r="C174">
            <v>0.32</v>
          </cell>
          <cell r="D174">
            <v>0.45</v>
          </cell>
          <cell r="E174">
            <v>0.44</v>
          </cell>
          <cell r="F174">
            <v>1.39</v>
          </cell>
          <cell r="G174">
            <v>1.89</v>
          </cell>
          <cell r="H174">
            <v>1.64</v>
          </cell>
          <cell r="I174">
            <v>1.51</v>
          </cell>
          <cell r="J174">
            <v>1.97</v>
          </cell>
          <cell r="K174">
            <v>2.2000000000000002</v>
          </cell>
          <cell r="L174">
            <v>2.35</v>
          </cell>
          <cell r="M174">
            <v>2.52</v>
          </cell>
          <cell r="N174">
            <v>2.81</v>
          </cell>
          <cell r="O174">
            <v>3.13</v>
          </cell>
          <cell r="P174">
            <v>3.18</v>
          </cell>
          <cell r="Q174">
            <v>3.21</v>
          </cell>
        </row>
        <row r="175">
          <cell r="A175" t="str">
            <v xml:space="preserve"> 6/30/58</v>
          </cell>
          <cell r="C175">
            <v>0.69</v>
          </cell>
          <cell r="D175">
            <v>0.79</v>
          </cell>
          <cell r="E175">
            <v>1.17</v>
          </cell>
          <cell r="F175">
            <v>1.08</v>
          </cell>
          <cell r="G175">
            <v>1.03</v>
          </cell>
          <cell r="H175">
            <v>1.43</v>
          </cell>
          <cell r="I175">
            <v>1.64</v>
          </cell>
          <cell r="J175">
            <v>2.2000000000000002</v>
          </cell>
          <cell r="K175">
            <v>2.4900000000000002</v>
          </cell>
          <cell r="L175">
            <v>2.6</v>
          </cell>
          <cell r="M175">
            <v>2.72</v>
          </cell>
          <cell r="N175">
            <v>3</v>
          </cell>
          <cell r="O175">
            <v>3.31</v>
          </cell>
          <cell r="P175">
            <v>3.33</v>
          </cell>
          <cell r="Q175">
            <v>3.29</v>
          </cell>
        </row>
        <row r="176">
          <cell r="A176" t="str">
            <v xml:space="preserve"> 7/31/58</v>
          </cell>
          <cell r="C176">
            <v>0.7</v>
          </cell>
          <cell r="D176">
            <v>0.88</v>
          </cell>
          <cell r="E176">
            <v>1.33</v>
          </cell>
          <cell r="F176">
            <v>1.45</v>
          </cell>
          <cell r="G176">
            <v>1.51</v>
          </cell>
          <cell r="H176">
            <v>1.76</v>
          </cell>
          <cell r="I176">
            <v>1.88</v>
          </cell>
          <cell r="J176">
            <v>2.46</v>
          </cell>
          <cell r="K176">
            <v>2.75</v>
          </cell>
          <cell r="L176">
            <v>2.86</v>
          </cell>
          <cell r="M176">
            <v>2.99</v>
          </cell>
          <cell r="N176">
            <v>3.2</v>
          </cell>
          <cell r="O176">
            <v>3.44</v>
          </cell>
          <cell r="P176">
            <v>3.47</v>
          </cell>
          <cell r="Q176">
            <v>3.49</v>
          </cell>
        </row>
        <row r="177">
          <cell r="A177" t="str">
            <v xml:space="preserve"> 8/29/58</v>
          </cell>
          <cell r="C177">
            <v>1.78</v>
          </cell>
          <cell r="D177">
            <v>2.36</v>
          </cell>
          <cell r="E177">
            <v>2.65</v>
          </cell>
          <cell r="F177">
            <v>2.75</v>
          </cell>
          <cell r="G177">
            <v>2.8</v>
          </cell>
          <cell r="H177">
            <v>3.14</v>
          </cell>
          <cell r="I177">
            <v>3.31</v>
          </cell>
          <cell r="J177">
            <v>3.57</v>
          </cell>
          <cell r="K177">
            <v>3.7</v>
          </cell>
          <cell r="L177">
            <v>3.71</v>
          </cell>
          <cell r="M177">
            <v>3.72</v>
          </cell>
          <cell r="N177">
            <v>3.77</v>
          </cell>
          <cell r="O177">
            <v>3.83</v>
          </cell>
          <cell r="P177">
            <v>3.76</v>
          </cell>
          <cell r="Q177">
            <v>3.6</v>
          </cell>
        </row>
        <row r="178">
          <cell r="A178" t="str">
            <v xml:space="preserve"> 9/30/58</v>
          </cell>
          <cell r="C178">
            <v>1.77</v>
          </cell>
          <cell r="D178">
            <v>2.82</v>
          </cell>
          <cell r="E178">
            <v>3.25</v>
          </cell>
          <cell r="F178">
            <v>3.11</v>
          </cell>
          <cell r="G178">
            <v>3.05</v>
          </cell>
          <cell r="H178">
            <v>3.32</v>
          </cell>
          <cell r="I178">
            <v>3.46</v>
          </cell>
          <cell r="J178">
            <v>3.7</v>
          </cell>
          <cell r="K178">
            <v>3.82</v>
          </cell>
          <cell r="L178">
            <v>3.81</v>
          </cell>
          <cell r="M178">
            <v>3.79</v>
          </cell>
          <cell r="N178">
            <v>3.82</v>
          </cell>
          <cell r="O178">
            <v>3.87</v>
          </cell>
          <cell r="P178">
            <v>3.82</v>
          </cell>
          <cell r="Q178">
            <v>3.72</v>
          </cell>
        </row>
        <row r="179">
          <cell r="A179" t="str">
            <v>10/31/58</v>
          </cell>
          <cell r="C179">
            <v>1.62</v>
          </cell>
          <cell r="D179">
            <v>2.59</v>
          </cell>
          <cell r="E179">
            <v>2.73</v>
          </cell>
          <cell r="F179">
            <v>2.83</v>
          </cell>
          <cell r="G179">
            <v>2.88</v>
          </cell>
          <cell r="H179">
            <v>3.26</v>
          </cell>
          <cell r="I179">
            <v>3.45</v>
          </cell>
          <cell r="J179">
            <v>3.7</v>
          </cell>
          <cell r="K179">
            <v>3.82</v>
          </cell>
          <cell r="L179">
            <v>3.82</v>
          </cell>
          <cell r="M179">
            <v>3.82</v>
          </cell>
          <cell r="N179">
            <v>3.83</v>
          </cell>
          <cell r="O179">
            <v>3.84</v>
          </cell>
          <cell r="P179">
            <v>3.81</v>
          </cell>
          <cell r="Q179">
            <v>3.78</v>
          </cell>
        </row>
        <row r="180">
          <cell r="A180" t="str">
            <v>11/28/58</v>
          </cell>
          <cell r="C180">
            <v>1.97</v>
          </cell>
          <cell r="D180">
            <v>2.71</v>
          </cell>
          <cell r="E180">
            <v>2.92</v>
          </cell>
          <cell r="F180">
            <v>3.08</v>
          </cell>
          <cell r="G180">
            <v>3.17</v>
          </cell>
          <cell r="H180">
            <v>3.31</v>
          </cell>
          <cell r="I180">
            <v>3.38</v>
          </cell>
          <cell r="J180">
            <v>3.58</v>
          </cell>
          <cell r="K180">
            <v>3.67</v>
          </cell>
          <cell r="L180">
            <v>3.66</v>
          </cell>
          <cell r="M180">
            <v>3.64</v>
          </cell>
          <cell r="N180">
            <v>3.67</v>
          </cell>
          <cell r="O180">
            <v>3.73</v>
          </cell>
          <cell r="P180">
            <v>3.74</v>
          </cell>
          <cell r="Q180">
            <v>3.75</v>
          </cell>
        </row>
        <row r="181">
          <cell r="A181" t="str">
            <v>12/31/58</v>
          </cell>
          <cell r="C181">
            <v>2.36</v>
          </cell>
          <cell r="D181">
            <v>2.73</v>
          </cell>
          <cell r="E181">
            <v>2.97</v>
          </cell>
          <cell r="F181">
            <v>2.96</v>
          </cell>
          <cell r="G181">
            <v>2.96</v>
          </cell>
          <cell r="H181">
            <v>3.26</v>
          </cell>
          <cell r="I181">
            <v>3.41</v>
          </cell>
          <cell r="J181">
            <v>3.71</v>
          </cell>
          <cell r="K181">
            <v>3.85</v>
          </cell>
          <cell r="L181">
            <v>3.92</v>
          </cell>
          <cell r="M181">
            <v>4</v>
          </cell>
          <cell r="N181">
            <v>3.98</v>
          </cell>
          <cell r="O181">
            <v>3.92</v>
          </cell>
          <cell r="P181">
            <v>3.88</v>
          </cell>
          <cell r="Q181">
            <v>3.85</v>
          </cell>
        </row>
        <row r="182">
          <cell r="A182" t="str">
            <v xml:space="preserve"> 1/30/59</v>
          </cell>
          <cell r="C182">
            <v>2.4300000000000002</v>
          </cell>
          <cell r="D182">
            <v>2.73</v>
          </cell>
          <cell r="E182">
            <v>3.1</v>
          </cell>
          <cell r="F182">
            <v>3.36</v>
          </cell>
          <cell r="G182">
            <v>3.5</v>
          </cell>
          <cell r="H182">
            <v>3.64</v>
          </cell>
          <cell r="I182">
            <v>3.71</v>
          </cell>
          <cell r="J182">
            <v>3.95</v>
          </cell>
          <cell r="K182">
            <v>4.07</v>
          </cell>
          <cell r="L182">
            <v>4.05</v>
          </cell>
          <cell r="M182">
            <v>4.03</v>
          </cell>
          <cell r="N182">
            <v>4.03</v>
          </cell>
          <cell r="O182">
            <v>4.03</v>
          </cell>
          <cell r="P182">
            <v>4</v>
          </cell>
          <cell r="Q182">
            <v>3.95</v>
          </cell>
        </row>
        <row r="183">
          <cell r="A183" t="str">
            <v xml:space="preserve"> 2/27/59</v>
          </cell>
          <cell r="C183">
            <v>2.33</v>
          </cell>
          <cell r="D183">
            <v>2.84</v>
          </cell>
          <cell r="E183">
            <v>3.05</v>
          </cell>
          <cell r="F183">
            <v>3.31</v>
          </cell>
          <cell r="G183">
            <v>3.43</v>
          </cell>
          <cell r="H183">
            <v>3.6</v>
          </cell>
          <cell r="I183">
            <v>3.68</v>
          </cell>
          <cell r="J183">
            <v>3.81</v>
          </cell>
          <cell r="K183">
            <v>3.87</v>
          </cell>
          <cell r="L183">
            <v>3.87</v>
          </cell>
          <cell r="M183">
            <v>3.87</v>
          </cell>
          <cell r="N183">
            <v>3.9</v>
          </cell>
          <cell r="O183">
            <v>3.93</v>
          </cell>
          <cell r="P183">
            <v>3.96</v>
          </cell>
          <cell r="Q183">
            <v>3.99</v>
          </cell>
        </row>
        <row r="184">
          <cell r="A184" t="str">
            <v xml:space="preserve"> 3/31/59</v>
          </cell>
          <cell r="C184">
            <v>2.38</v>
          </cell>
          <cell r="D184">
            <v>2.81</v>
          </cell>
          <cell r="E184">
            <v>3.25</v>
          </cell>
          <cell r="F184">
            <v>3.49</v>
          </cell>
          <cell r="G184">
            <v>3.61</v>
          </cell>
          <cell r="H184">
            <v>3.78</v>
          </cell>
          <cell r="I184">
            <v>3.86</v>
          </cell>
          <cell r="J184">
            <v>4.01</v>
          </cell>
          <cell r="K184">
            <v>4.09</v>
          </cell>
          <cell r="L184">
            <v>4.07</v>
          </cell>
          <cell r="M184">
            <v>4.0599999999999996</v>
          </cell>
          <cell r="N184">
            <v>4.04</v>
          </cell>
          <cell r="O184">
            <v>4.0199999999999996</v>
          </cell>
          <cell r="P184">
            <v>4.01</v>
          </cell>
          <cell r="Q184">
            <v>3.99</v>
          </cell>
        </row>
        <row r="185">
          <cell r="A185" t="str">
            <v xml:space="preserve"> 4/30/59</v>
          </cell>
          <cell r="C185">
            <v>2.7</v>
          </cell>
          <cell r="D185">
            <v>2.85</v>
          </cell>
          <cell r="E185">
            <v>3.29</v>
          </cell>
          <cell r="F185">
            <v>3.66</v>
          </cell>
          <cell r="G185">
            <v>3.85</v>
          </cell>
          <cell r="H185">
            <v>3.91</v>
          </cell>
          <cell r="I185">
            <v>3.94</v>
          </cell>
          <cell r="J185">
            <v>4.16</v>
          </cell>
          <cell r="K185">
            <v>4.2699999999999996</v>
          </cell>
          <cell r="L185">
            <v>4.3099999999999996</v>
          </cell>
          <cell r="M185">
            <v>4.3600000000000003</v>
          </cell>
          <cell r="N185">
            <v>4.3</v>
          </cell>
          <cell r="O185">
            <v>4.1900000000000004</v>
          </cell>
          <cell r="P185">
            <v>4.0999999999999996</v>
          </cell>
          <cell r="Q185">
            <v>3.99</v>
          </cell>
        </row>
        <row r="186">
          <cell r="A186" t="str">
            <v xml:space="preserve"> 5/29/59</v>
          </cell>
          <cell r="C186">
            <v>2.67</v>
          </cell>
          <cell r="D186">
            <v>2.97</v>
          </cell>
          <cell r="E186">
            <v>3.5</v>
          </cell>
          <cell r="F186">
            <v>3.83</v>
          </cell>
          <cell r="G186">
            <v>4</v>
          </cell>
          <cell r="H186">
            <v>4.04</v>
          </cell>
          <cell r="I186">
            <v>4.0599999999999996</v>
          </cell>
          <cell r="J186">
            <v>4.2699999999999996</v>
          </cell>
          <cell r="K186">
            <v>4.38</v>
          </cell>
          <cell r="L186">
            <v>4.3899999999999997</v>
          </cell>
          <cell r="M186">
            <v>4.4000000000000004</v>
          </cell>
          <cell r="N186">
            <v>4.32</v>
          </cell>
          <cell r="O186">
            <v>4.22</v>
          </cell>
          <cell r="P186">
            <v>4.13</v>
          </cell>
          <cell r="Q186">
            <v>4.0199999999999996</v>
          </cell>
        </row>
        <row r="187">
          <cell r="A187" t="str">
            <v xml:space="preserve"> 6/30/59</v>
          </cell>
          <cell r="C187">
            <v>2.7</v>
          </cell>
          <cell r="D187">
            <v>3</v>
          </cell>
          <cell r="E187">
            <v>3.75</v>
          </cell>
          <cell r="F187">
            <v>3.99</v>
          </cell>
          <cell r="G187">
            <v>4.0999999999999996</v>
          </cell>
          <cell r="H187">
            <v>4.25</v>
          </cell>
          <cell r="I187">
            <v>4.32</v>
          </cell>
          <cell r="J187">
            <v>4.54</v>
          </cell>
          <cell r="K187">
            <v>4.6500000000000004</v>
          </cell>
          <cell r="L187">
            <v>4.58</v>
          </cell>
          <cell r="M187">
            <v>4.5</v>
          </cell>
          <cell r="N187">
            <v>4.3899999999999997</v>
          </cell>
          <cell r="O187">
            <v>4.28</v>
          </cell>
          <cell r="P187">
            <v>4.12</v>
          </cell>
          <cell r="Q187">
            <v>3.86</v>
          </cell>
        </row>
        <row r="188">
          <cell r="A188" t="str">
            <v xml:space="preserve"> 7/31/59</v>
          </cell>
          <cell r="C188">
            <v>2.2599999999999998</v>
          </cell>
          <cell r="D188">
            <v>2.95</v>
          </cell>
          <cell r="E188">
            <v>3.79</v>
          </cell>
          <cell r="F188">
            <v>4.13</v>
          </cell>
          <cell r="G188">
            <v>4.3</v>
          </cell>
          <cell r="H188">
            <v>4.3499999999999996</v>
          </cell>
          <cell r="I188">
            <v>4.37</v>
          </cell>
          <cell r="J188">
            <v>4.53</v>
          </cell>
          <cell r="K188">
            <v>4.62</v>
          </cell>
          <cell r="L188">
            <v>4.58</v>
          </cell>
          <cell r="M188">
            <v>4.54</v>
          </cell>
          <cell r="N188">
            <v>4.43</v>
          </cell>
          <cell r="O188">
            <v>4.3</v>
          </cell>
          <cell r="P188">
            <v>4.09</v>
          </cell>
          <cell r="Q188">
            <v>3.77</v>
          </cell>
        </row>
        <row r="189">
          <cell r="A189" t="str">
            <v xml:space="preserve"> 8/31/59</v>
          </cell>
          <cell r="C189">
            <v>3.44</v>
          </cell>
          <cell r="D189">
            <v>3.75</v>
          </cell>
          <cell r="E189">
            <v>4.53</v>
          </cell>
          <cell r="F189">
            <v>4.5599999999999996</v>
          </cell>
          <cell r="G189">
            <v>4.57</v>
          </cell>
          <cell r="H189">
            <v>4.7</v>
          </cell>
          <cell r="I189">
            <v>4.76</v>
          </cell>
          <cell r="J189">
            <v>4.83</v>
          </cell>
          <cell r="K189">
            <v>4.8600000000000003</v>
          </cell>
          <cell r="L189">
            <v>4.84</v>
          </cell>
          <cell r="M189">
            <v>4.82</v>
          </cell>
          <cell r="N189">
            <v>4.6399999999999997</v>
          </cell>
          <cell r="O189">
            <v>4.41</v>
          </cell>
          <cell r="P189">
            <v>4.1900000000000004</v>
          </cell>
          <cell r="Q189">
            <v>3.85</v>
          </cell>
        </row>
        <row r="190">
          <cell r="A190" t="str">
            <v xml:space="preserve"> 9/30/59</v>
          </cell>
          <cell r="C190">
            <v>3.34</v>
          </cell>
          <cell r="D190">
            <v>4.07</v>
          </cell>
          <cell r="E190">
            <v>4.9800000000000004</v>
          </cell>
          <cell r="F190">
            <v>5.01</v>
          </cell>
          <cell r="G190">
            <v>5.0199999999999996</v>
          </cell>
          <cell r="H190">
            <v>5</v>
          </cell>
          <cell r="I190">
            <v>4.99</v>
          </cell>
          <cell r="J190">
            <v>4.97</v>
          </cell>
          <cell r="K190">
            <v>4.97</v>
          </cell>
          <cell r="L190">
            <v>4.8899999999999997</v>
          </cell>
          <cell r="M190">
            <v>4.8</v>
          </cell>
          <cell r="N190">
            <v>4.63</v>
          </cell>
          <cell r="O190">
            <v>4.45</v>
          </cell>
          <cell r="P190">
            <v>4.2</v>
          </cell>
          <cell r="Q190">
            <v>3.82</v>
          </cell>
        </row>
        <row r="191">
          <cell r="A191" t="str">
            <v>10/30/59</v>
          </cell>
          <cell r="C191">
            <v>3.03</v>
          </cell>
          <cell r="D191">
            <v>4.0599999999999996</v>
          </cell>
          <cell r="E191">
            <v>4.34</v>
          </cell>
          <cell r="F191">
            <v>4.3899999999999997</v>
          </cell>
          <cell r="G191">
            <v>4.41</v>
          </cell>
          <cell r="H191">
            <v>4.5199999999999996</v>
          </cell>
          <cell r="I191">
            <v>4.58</v>
          </cell>
          <cell r="J191">
            <v>4.67</v>
          </cell>
          <cell r="K191">
            <v>4.71</v>
          </cell>
          <cell r="L191">
            <v>4.6500000000000004</v>
          </cell>
          <cell r="M191">
            <v>4.59</v>
          </cell>
          <cell r="N191">
            <v>4.46</v>
          </cell>
          <cell r="O191">
            <v>4.33</v>
          </cell>
          <cell r="P191">
            <v>4.1399999999999997</v>
          </cell>
          <cell r="Q191">
            <v>3.91</v>
          </cell>
        </row>
        <row r="192">
          <cell r="A192" t="str">
            <v>11/30/59</v>
          </cell>
          <cell r="C192">
            <v>2.99</v>
          </cell>
          <cell r="D192">
            <v>4.3600000000000003</v>
          </cell>
          <cell r="E192">
            <v>4.92</v>
          </cell>
          <cell r="F192">
            <v>4.8600000000000003</v>
          </cell>
          <cell r="G192">
            <v>4.82</v>
          </cell>
          <cell r="H192">
            <v>4.93</v>
          </cell>
          <cell r="I192">
            <v>4.9800000000000004</v>
          </cell>
          <cell r="J192">
            <v>4.97</v>
          </cell>
          <cell r="K192">
            <v>4.96</v>
          </cell>
          <cell r="L192">
            <v>4.83</v>
          </cell>
          <cell r="M192">
            <v>4.68</v>
          </cell>
          <cell r="N192">
            <v>4.5599999999999996</v>
          </cell>
          <cell r="O192">
            <v>4.46</v>
          </cell>
          <cell r="P192">
            <v>4.22</v>
          </cell>
          <cell r="Q192">
            <v>3.84</v>
          </cell>
        </row>
        <row r="193">
          <cell r="A193" t="str">
            <v>12/31/59</v>
          </cell>
          <cell r="C193">
            <v>4.04</v>
          </cell>
          <cell r="D193">
            <v>4.41</v>
          </cell>
          <cell r="E193">
            <v>5.09</v>
          </cell>
          <cell r="F193">
            <v>4.92</v>
          </cell>
          <cell r="G193">
            <v>4.83</v>
          </cell>
          <cell r="H193">
            <v>5.07</v>
          </cell>
          <cell r="I193">
            <v>5.18</v>
          </cell>
          <cell r="J193">
            <v>5.0599999999999996</v>
          </cell>
          <cell r="K193">
            <v>5</v>
          </cell>
          <cell r="L193">
            <v>5.0199999999999996</v>
          </cell>
          <cell r="M193">
            <v>5.03</v>
          </cell>
          <cell r="N193">
            <v>4.8499999999999996</v>
          </cell>
          <cell r="O193">
            <v>4.6100000000000003</v>
          </cell>
          <cell r="P193">
            <v>4.45</v>
          </cell>
          <cell r="Q193">
            <v>4.2699999999999996</v>
          </cell>
        </row>
        <row r="194">
          <cell r="A194" t="str">
            <v xml:space="preserve"> 1/29/60</v>
          </cell>
          <cell r="C194">
            <v>3.44</v>
          </cell>
          <cell r="D194">
            <v>4.07</v>
          </cell>
          <cell r="E194">
            <v>4.58</v>
          </cell>
          <cell r="F194">
            <v>4.57</v>
          </cell>
          <cell r="G194">
            <v>4.5599999999999996</v>
          </cell>
          <cell r="H194">
            <v>4.72</v>
          </cell>
          <cell r="I194">
            <v>4.8</v>
          </cell>
          <cell r="J194">
            <v>4.82</v>
          </cell>
          <cell r="K194">
            <v>4.83</v>
          </cell>
          <cell r="L194">
            <v>4.84</v>
          </cell>
          <cell r="M194">
            <v>4.8600000000000003</v>
          </cell>
          <cell r="N194">
            <v>4.6900000000000004</v>
          </cell>
          <cell r="O194">
            <v>4.46</v>
          </cell>
          <cell r="P194">
            <v>4.3899999999999997</v>
          </cell>
          <cell r="Q194">
            <v>4.34</v>
          </cell>
        </row>
        <row r="195">
          <cell r="A195" t="str">
            <v xml:space="preserve"> 2/29/60</v>
          </cell>
          <cell r="C195">
            <v>3.84</v>
          </cell>
          <cell r="D195">
            <v>4.29</v>
          </cell>
          <cell r="E195">
            <v>4.45</v>
          </cell>
          <cell r="F195">
            <v>4.51</v>
          </cell>
          <cell r="G195">
            <v>4.54</v>
          </cell>
          <cell r="H195">
            <v>4.6500000000000004</v>
          </cell>
          <cell r="I195">
            <v>4.71</v>
          </cell>
          <cell r="J195">
            <v>4.75</v>
          </cell>
          <cell r="K195">
            <v>4.78</v>
          </cell>
          <cell r="L195">
            <v>4.76</v>
          </cell>
          <cell r="M195">
            <v>4.75</v>
          </cell>
          <cell r="N195">
            <v>4.58</v>
          </cell>
          <cell r="O195">
            <v>4.3499999999999996</v>
          </cell>
          <cell r="P195">
            <v>4.3</v>
          </cell>
          <cell r="Q195">
            <v>4.29</v>
          </cell>
        </row>
        <row r="196">
          <cell r="A196" t="str">
            <v xml:space="preserve"> 3/31/60</v>
          </cell>
          <cell r="C196">
            <v>2.54</v>
          </cell>
          <cell r="D196">
            <v>3.02</v>
          </cell>
          <cell r="E196">
            <v>3.48</v>
          </cell>
          <cell r="F196">
            <v>3.53</v>
          </cell>
          <cell r="G196">
            <v>3.56</v>
          </cell>
          <cell r="H196">
            <v>3.82</v>
          </cell>
          <cell r="I196">
            <v>3.95</v>
          </cell>
          <cell r="J196">
            <v>4.03</v>
          </cell>
          <cell r="K196">
            <v>4.07</v>
          </cell>
          <cell r="L196">
            <v>4.1500000000000004</v>
          </cell>
          <cell r="M196">
            <v>4.2300000000000004</v>
          </cell>
          <cell r="N196">
            <v>4.2</v>
          </cell>
          <cell r="O196">
            <v>4.13</v>
          </cell>
          <cell r="P196">
            <v>4.0999999999999996</v>
          </cell>
          <cell r="Q196">
            <v>4.08</v>
          </cell>
        </row>
        <row r="197">
          <cell r="A197" t="str">
            <v xml:space="preserve"> 4/29/60</v>
          </cell>
          <cell r="C197">
            <v>2.97</v>
          </cell>
          <cell r="D197">
            <v>3</v>
          </cell>
          <cell r="E197">
            <v>3.47</v>
          </cell>
          <cell r="F197">
            <v>3.95</v>
          </cell>
          <cell r="G197">
            <v>4.1900000000000004</v>
          </cell>
          <cell r="H197">
            <v>4.25</v>
          </cell>
          <cell r="I197">
            <v>4.28</v>
          </cell>
          <cell r="J197">
            <v>4.41</v>
          </cell>
          <cell r="K197">
            <v>4.4800000000000004</v>
          </cell>
          <cell r="L197">
            <v>4.4400000000000004</v>
          </cell>
          <cell r="M197">
            <v>4.3899999999999997</v>
          </cell>
          <cell r="N197">
            <v>4.3499999999999996</v>
          </cell>
          <cell r="O197">
            <v>4.32</v>
          </cell>
          <cell r="P197">
            <v>4.2699999999999996</v>
          </cell>
          <cell r="Q197">
            <v>4.21</v>
          </cell>
        </row>
        <row r="198">
          <cell r="A198" t="str">
            <v xml:space="preserve"> 5/31/60</v>
          </cell>
          <cell r="C198">
            <v>2.37</v>
          </cell>
          <cell r="D198">
            <v>3.16</v>
          </cell>
          <cell r="E198">
            <v>3.39</v>
          </cell>
          <cell r="F198">
            <v>3.81</v>
          </cell>
          <cell r="G198">
            <v>4.03</v>
          </cell>
          <cell r="H198">
            <v>4.21</v>
          </cell>
          <cell r="I198">
            <v>4.3099999999999996</v>
          </cell>
          <cell r="J198">
            <v>4.3600000000000003</v>
          </cell>
          <cell r="K198">
            <v>4.38</v>
          </cell>
          <cell r="L198">
            <v>4.38</v>
          </cell>
          <cell r="M198">
            <v>4.3899999999999997</v>
          </cell>
          <cell r="N198">
            <v>4.3</v>
          </cell>
          <cell r="O198">
            <v>4.18</v>
          </cell>
          <cell r="P198">
            <v>4.1399999999999997</v>
          </cell>
          <cell r="Q198">
            <v>4.0999999999999996</v>
          </cell>
        </row>
        <row r="199">
          <cell r="A199" t="str">
            <v xml:space="preserve"> 6/30/60</v>
          </cell>
          <cell r="C199">
            <v>1.56</v>
          </cell>
          <cell r="D199">
            <v>2.15</v>
          </cell>
          <cell r="E199">
            <v>2.6</v>
          </cell>
          <cell r="F199">
            <v>3.01</v>
          </cell>
          <cell r="G199">
            <v>3.21</v>
          </cell>
          <cell r="H199">
            <v>3.5</v>
          </cell>
          <cell r="I199">
            <v>3.65</v>
          </cell>
          <cell r="J199">
            <v>3.84</v>
          </cell>
          <cell r="K199">
            <v>3.93</v>
          </cell>
          <cell r="L199">
            <v>4.01</v>
          </cell>
          <cell r="M199">
            <v>4.09</v>
          </cell>
          <cell r="N199">
            <v>4.13</v>
          </cell>
          <cell r="O199">
            <v>4.1399999999999997</v>
          </cell>
          <cell r="P199">
            <v>3.98</v>
          </cell>
          <cell r="Q199">
            <v>3.79</v>
          </cell>
        </row>
        <row r="200">
          <cell r="A200" t="str">
            <v xml:space="preserve"> 7/29/60</v>
          </cell>
          <cell r="C200">
            <v>1.82</v>
          </cell>
          <cell r="D200">
            <v>2.21</v>
          </cell>
          <cell r="E200">
            <v>2.5499999999999998</v>
          </cell>
          <cell r="F200">
            <v>2.8</v>
          </cell>
          <cell r="G200">
            <v>2.93</v>
          </cell>
          <cell r="H200">
            <v>2.96</v>
          </cell>
          <cell r="I200">
            <v>2.98</v>
          </cell>
          <cell r="J200">
            <v>3.27</v>
          </cell>
          <cell r="K200">
            <v>3.41</v>
          </cell>
          <cell r="L200">
            <v>3.5</v>
          </cell>
          <cell r="M200">
            <v>3.59</v>
          </cell>
          <cell r="N200">
            <v>3.74</v>
          </cell>
          <cell r="O200">
            <v>3.9</v>
          </cell>
          <cell r="P200">
            <v>3.8</v>
          </cell>
          <cell r="Q200">
            <v>3.66</v>
          </cell>
        </row>
        <row r="201">
          <cell r="A201" t="str">
            <v xml:space="preserve"> 8/31/60</v>
          </cell>
          <cell r="C201">
            <v>1.76</v>
          </cell>
          <cell r="D201">
            <v>2.33</v>
          </cell>
          <cell r="E201">
            <v>2.73</v>
          </cell>
          <cell r="F201">
            <v>2.86</v>
          </cell>
          <cell r="G201">
            <v>2.93</v>
          </cell>
          <cell r="H201">
            <v>2.98</v>
          </cell>
          <cell r="I201">
            <v>3.01</v>
          </cell>
          <cell r="J201">
            <v>3.33</v>
          </cell>
          <cell r="K201">
            <v>3.49</v>
          </cell>
          <cell r="L201">
            <v>3.58</v>
          </cell>
          <cell r="M201">
            <v>3.68</v>
          </cell>
          <cell r="N201">
            <v>3.81</v>
          </cell>
          <cell r="O201">
            <v>3.94</v>
          </cell>
          <cell r="P201">
            <v>3.89</v>
          </cell>
          <cell r="Q201">
            <v>3.79</v>
          </cell>
        </row>
        <row r="202">
          <cell r="A202" t="str">
            <v xml:space="preserve"> 9/30/60</v>
          </cell>
          <cell r="C202">
            <v>2.4</v>
          </cell>
          <cell r="D202">
            <v>2.37</v>
          </cell>
          <cell r="E202">
            <v>2.96</v>
          </cell>
          <cell r="F202">
            <v>2.89</v>
          </cell>
          <cell r="G202">
            <v>2.85</v>
          </cell>
          <cell r="H202">
            <v>2.9</v>
          </cell>
          <cell r="I202">
            <v>2.93</v>
          </cell>
          <cell r="J202">
            <v>3.34</v>
          </cell>
          <cell r="K202">
            <v>3.54</v>
          </cell>
          <cell r="L202">
            <v>3.61</v>
          </cell>
          <cell r="M202">
            <v>3.7</v>
          </cell>
          <cell r="N202">
            <v>3.78</v>
          </cell>
          <cell r="O202">
            <v>3.85</v>
          </cell>
          <cell r="P202">
            <v>3.89</v>
          </cell>
          <cell r="Q202">
            <v>3.94</v>
          </cell>
        </row>
        <row r="203">
          <cell r="A203" t="str">
            <v>10/31/60</v>
          </cell>
          <cell r="C203">
            <v>1.52</v>
          </cell>
          <cell r="D203">
            <v>2.2200000000000002</v>
          </cell>
          <cell r="E203">
            <v>2.59</v>
          </cell>
          <cell r="F203">
            <v>2.81</v>
          </cell>
          <cell r="G203">
            <v>2.91</v>
          </cell>
          <cell r="H203">
            <v>2.99</v>
          </cell>
          <cell r="I203">
            <v>3.03</v>
          </cell>
          <cell r="J203">
            <v>3.38</v>
          </cell>
          <cell r="K203">
            <v>3.55</v>
          </cell>
          <cell r="L203">
            <v>3.68</v>
          </cell>
          <cell r="M203">
            <v>3.82</v>
          </cell>
          <cell r="N203">
            <v>3.89</v>
          </cell>
          <cell r="O203">
            <v>3.92</v>
          </cell>
          <cell r="P203">
            <v>3.92</v>
          </cell>
          <cell r="Q203">
            <v>3.93</v>
          </cell>
        </row>
        <row r="204">
          <cell r="A204" t="str">
            <v>11/30/60</v>
          </cell>
          <cell r="C204">
            <v>1.46</v>
          </cell>
          <cell r="D204">
            <v>2.39</v>
          </cell>
          <cell r="E204">
            <v>2.75</v>
          </cell>
          <cell r="F204">
            <v>2.97</v>
          </cell>
          <cell r="G204">
            <v>3.08</v>
          </cell>
          <cell r="H204">
            <v>3.19</v>
          </cell>
          <cell r="I204">
            <v>3.25</v>
          </cell>
          <cell r="J204">
            <v>3.6</v>
          </cell>
          <cell r="K204">
            <v>3.77</v>
          </cell>
          <cell r="L204">
            <v>3.9</v>
          </cell>
          <cell r="M204">
            <v>4.04</v>
          </cell>
          <cell r="N204">
            <v>4.08</v>
          </cell>
          <cell r="O204">
            <v>4.07</v>
          </cell>
          <cell r="P204">
            <v>4.04</v>
          </cell>
          <cell r="Q204">
            <v>3.98</v>
          </cell>
        </row>
        <row r="205">
          <cell r="A205" t="str">
            <v>12/30/60</v>
          </cell>
          <cell r="C205">
            <v>1.99</v>
          </cell>
          <cell r="D205">
            <v>2.23</v>
          </cell>
          <cell r="E205">
            <v>2.4500000000000002</v>
          </cell>
          <cell r="F205">
            <v>2.5499999999999998</v>
          </cell>
          <cell r="G205">
            <v>2.61</v>
          </cell>
          <cell r="H205">
            <v>2.72</v>
          </cell>
          <cell r="I205">
            <v>2.77</v>
          </cell>
          <cell r="J205">
            <v>3.14</v>
          </cell>
          <cell r="K205">
            <v>3.33</v>
          </cell>
          <cell r="L205">
            <v>3.48</v>
          </cell>
          <cell r="M205">
            <v>3.65</v>
          </cell>
          <cell r="N205">
            <v>3.76</v>
          </cell>
          <cell r="O205">
            <v>3.85</v>
          </cell>
          <cell r="P205">
            <v>3.87</v>
          </cell>
          <cell r="Q205">
            <v>3.89</v>
          </cell>
        </row>
        <row r="206">
          <cell r="A206" t="str">
            <v xml:space="preserve"> 1/31/61</v>
          </cell>
          <cell r="C206">
            <v>2.0099999999999998</v>
          </cell>
          <cell r="D206">
            <v>2.25</v>
          </cell>
          <cell r="E206">
            <v>2.5</v>
          </cell>
          <cell r="F206">
            <v>2.69</v>
          </cell>
          <cell r="G206">
            <v>2.79</v>
          </cell>
          <cell r="H206">
            <v>2.99</v>
          </cell>
          <cell r="I206">
            <v>3.09</v>
          </cell>
          <cell r="J206">
            <v>3.44</v>
          </cell>
          <cell r="K206">
            <v>3.62</v>
          </cell>
          <cell r="L206">
            <v>3.73</v>
          </cell>
          <cell r="M206">
            <v>3.84</v>
          </cell>
          <cell r="N206">
            <v>3.91</v>
          </cell>
          <cell r="O206">
            <v>3.95</v>
          </cell>
          <cell r="P206">
            <v>3.96</v>
          </cell>
          <cell r="Q206">
            <v>3.97</v>
          </cell>
        </row>
        <row r="207">
          <cell r="A207" t="str">
            <v xml:space="preserve"> 2/28/61</v>
          </cell>
          <cell r="C207">
            <v>2.46</v>
          </cell>
          <cell r="D207">
            <v>2.58</v>
          </cell>
          <cell r="E207">
            <v>2.78</v>
          </cell>
          <cell r="F207">
            <v>2.91</v>
          </cell>
          <cell r="G207">
            <v>2.98</v>
          </cell>
          <cell r="H207">
            <v>3.08</v>
          </cell>
          <cell r="I207">
            <v>3.14</v>
          </cell>
          <cell r="J207">
            <v>3.39</v>
          </cell>
          <cell r="K207">
            <v>3.51</v>
          </cell>
          <cell r="L207">
            <v>3.59</v>
          </cell>
          <cell r="M207">
            <v>3.69</v>
          </cell>
          <cell r="N207">
            <v>3.77</v>
          </cell>
          <cell r="O207">
            <v>3.83</v>
          </cell>
          <cell r="P207">
            <v>3.84</v>
          </cell>
          <cell r="Q207">
            <v>3.83</v>
          </cell>
        </row>
        <row r="208">
          <cell r="A208" t="str">
            <v xml:space="preserve"> 3/30/61</v>
          </cell>
          <cell r="C208">
            <v>2.15</v>
          </cell>
          <cell r="D208">
            <v>2.41</v>
          </cell>
          <cell r="E208">
            <v>2.6</v>
          </cell>
          <cell r="F208">
            <v>2.8</v>
          </cell>
          <cell r="G208">
            <v>2.91</v>
          </cell>
          <cell r="H208">
            <v>2.98</v>
          </cell>
          <cell r="I208">
            <v>3.02</v>
          </cell>
          <cell r="J208">
            <v>3.31</v>
          </cell>
          <cell r="K208">
            <v>3.46</v>
          </cell>
          <cell r="L208">
            <v>3.6</v>
          </cell>
          <cell r="M208">
            <v>3.76</v>
          </cell>
          <cell r="N208">
            <v>3.85</v>
          </cell>
          <cell r="O208">
            <v>3.91</v>
          </cell>
          <cell r="P208">
            <v>3.88</v>
          </cell>
          <cell r="Q208">
            <v>3.82</v>
          </cell>
        </row>
        <row r="209">
          <cell r="A209" t="str">
            <v xml:space="preserve"> 4/28/61</v>
          </cell>
          <cell r="C209">
            <v>1.8</v>
          </cell>
          <cell r="D209">
            <v>2.2400000000000002</v>
          </cell>
          <cell r="E209">
            <v>2.4300000000000002</v>
          </cell>
          <cell r="F209">
            <v>2.71</v>
          </cell>
          <cell r="G209">
            <v>2.86</v>
          </cell>
          <cell r="H209">
            <v>2.98</v>
          </cell>
          <cell r="I209">
            <v>3.04</v>
          </cell>
          <cell r="J209">
            <v>3.23</v>
          </cell>
          <cell r="K209">
            <v>3.32</v>
          </cell>
          <cell r="L209">
            <v>3.5</v>
          </cell>
          <cell r="M209">
            <v>3.7</v>
          </cell>
          <cell r="N209">
            <v>3.79</v>
          </cell>
          <cell r="O209">
            <v>3.82</v>
          </cell>
          <cell r="P209">
            <v>3.81</v>
          </cell>
          <cell r="Q209">
            <v>3.79</v>
          </cell>
        </row>
        <row r="210">
          <cell r="A210" t="str">
            <v xml:space="preserve"> 5/31/61</v>
          </cell>
          <cell r="C210">
            <v>2.29</v>
          </cell>
          <cell r="D210">
            <v>2.35</v>
          </cell>
          <cell r="E210">
            <v>2.62</v>
          </cell>
          <cell r="F210">
            <v>2.82</v>
          </cell>
          <cell r="G210">
            <v>2.92</v>
          </cell>
          <cell r="H210">
            <v>3.12</v>
          </cell>
          <cell r="I210">
            <v>3.22</v>
          </cell>
          <cell r="J210">
            <v>3.39</v>
          </cell>
          <cell r="K210">
            <v>3.48</v>
          </cell>
          <cell r="L210">
            <v>3.62</v>
          </cell>
          <cell r="M210">
            <v>3.79</v>
          </cell>
          <cell r="N210">
            <v>3.85</v>
          </cell>
          <cell r="O210">
            <v>3.86</v>
          </cell>
          <cell r="P210">
            <v>3.82</v>
          </cell>
          <cell r="Q210">
            <v>3.74</v>
          </cell>
        </row>
        <row r="211">
          <cell r="A211" t="str">
            <v xml:space="preserve"> 6/30/61</v>
          </cell>
          <cell r="C211">
            <v>2.06</v>
          </cell>
          <cell r="D211">
            <v>2.2999999999999998</v>
          </cell>
          <cell r="E211">
            <v>2.5299999999999998</v>
          </cell>
          <cell r="F211">
            <v>2.8</v>
          </cell>
          <cell r="G211">
            <v>2.95</v>
          </cell>
          <cell r="H211">
            <v>3.17</v>
          </cell>
          <cell r="I211">
            <v>3.28</v>
          </cell>
          <cell r="J211">
            <v>3.56</v>
          </cell>
          <cell r="K211">
            <v>3.7</v>
          </cell>
          <cell r="L211">
            <v>3.81</v>
          </cell>
          <cell r="M211">
            <v>3.93</v>
          </cell>
          <cell r="N211">
            <v>3.97</v>
          </cell>
          <cell r="O211">
            <v>3.98</v>
          </cell>
          <cell r="P211">
            <v>3.97</v>
          </cell>
          <cell r="Q211">
            <v>3.94</v>
          </cell>
        </row>
        <row r="212">
          <cell r="A212" t="str">
            <v xml:space="preserve"> 7/31/61</v>
          </cell>
          <cell r="C212">
            <v>1.6</v>
          </cell>
          <cell r="D212">
            <v>2.17</v>
          </cell>
          <cell r="E212">
            <v>2.46</v>
          </cell>
          <cell r="F212">
            <v>2.7</v>
          </cell>
          <cell r="G212">
            <v>2.82</v>
          </cell>
          <cell r="H212">
            <v>3.1</v>
          </cell>
          <cell r="I212">
            <v>3.24</v>
          </cell>
          <cell r="J212">
            <v>3.59</v>
          </cell>
          <cell r="K212">
            <v>3.76</v>
          </cell>
          <cell r="L212">
            <v>3.89</v>
          </cell>
          <cell r="M212">
            <v>4.04</v>
          </cell>
          <cell r="N212">
            <v>4.04</v>
          </cell>
          <cell r="O212">
            <v>3.98</v>
          </cell>
          <cell r="P212">
            <v>3.96</v>
          </cell>
          <cell r="Q212">
            <v>3.94</v>
          </cell>
        </row>
        <row r="213">
          <cell r="A213" t="str">
            <v xml:space="preserve"> 8/31/61</v>
          </cell>
          <cell r="C213">
            <v>2.02</v>
          </cell>
          <cell r="D213">
            <v>2.2200000000000002</v>
          </cell>
          <cell r="E213">
            <v>2.71</v>
          </cell>
          <cell r="F213">
            <v>2.9</v>
          </cell>
          <cell r="G213">
            <v>3</v>
          </cell>
          <cell r="H213">
            <v>3.25</v>
          </cell>
          <cell r="I213">
            <v>3.37</v>
          </cell>
          <cell r="J213">
            <v>3.71</v>
          </cell>
          <cell r="K213">
            <v>3.88</v>
          </cell>
          <cell r="L213">
            <v>3.97</v>
          </cell>
          <cell r="M213">
            <v>4.07</v>
          </cell>
          <cell r="N213">
            <v>4.08</v>
          </cell>
          <cell r="O213">
            <v>4.05</v>
          </cell>
          <cell r="P213">
            <v>4.0599999999999996</v>
          </cell>
          <cell r="Q213">
            <v>4.09</v>
          </cell>
        </row>
        <row r="214">
          <cell r="A214" t="str">
            <v xml:space="preserve"> 9/29/61</v>
          </cell>
          <cell r="C214">
            <v>2</v>
          </cell>
          <cell r="D214">
            <v>2.25</v>
          </cell>
          <cell r="E214">
            <v>2.73</v>
          </cell>
          <cell r="F214">
            <v>2.86</v>
          </cell>
          <cell r="G214">
            <v>2.93</v>
          </cell>
          <cell r="H214">
            <v>3.2</v>
          </cell>
          <cell r="I214">
            <v>3.34</v>
          </cell>
          <cell r="J214">
            <v>3.61</v>
          </cell>
          <cell r="K214">
            <v>3.75</v>
          </cell>
          <cell r="L214">
            <v>3.82</v>
          </cell>
          <cell r="M214">
            <v>3.9</v>
          </cell>
          <cell r="N214">
            <v>3.95</v>
          </cell>
          <cell r="O214">
            <v>3.98</v>
          </cell>
          <cell r="P214">
            <v>4.04</v>
          </cell>
          <cell r="Q214">
            <v>4.16</v>
          </cell>
        </row>
        <row r="215">
          <cell r="A215" t="str">
            <v>10/31/61</v>
          </cell>
          <cell r="C215">
            <v>1.96</v>
          </cell>
          <cell r="D215">
            <v>2.2999999999999998</v>
          </cell>
          <cell r="E215">
            <v>2.67</v>
          </cell>
          <cell r="F215">
            <v>2.84</v>
          </cell>
          <cell r="G215">
            <v>2.92</v>
          </cell>
          <cell r="H215">
            <v>3.16</v>
          </cell>
          <cell r="I215">
            <v>3.28</v>
          </cell>
          <cell r="J215">
            <v>3.54</v>
          </cell>
          <cell r="K215">
            <v>3.67</v>
          </cell>
          <cell r="L215">
            <v>3.8</v>
          </cell>
          <cell r="M215">
            <v>3.95</v>
          </cell>
          <cell r="N215">
            <v>3.98</v>
          </cell>
          <cell r="O215">
            <v>3.95</v>
          </cell>
          <cell r="P215">
            <v>4.0199999999999996</v>
          </cell>
          <cell r="Q215">
            <v>4.1500000000000004</v>
          </cell>
        </row>
        <row r="216">
          <cell r="A216" t="str">
            <v>11/30/61</v>
          </cell>
          <cell r="C216">
            <v>2.2200000000000002</v>
          </cell>
          <cell r="D216">
            <v>2.54</v>
          </cell>
          <cell r="E216">
            <v>2.81</v>
          </cell>
          <cell r="F216">
            <v>2.93</v>
          </cell>
          <cell r="G216">
            <v>2.99</v>
          </cell>
          <cell r="H216">
            <v>3.24</v>
          </cell>
          <cell r="I216">
            <v>3.37</v>
          </cell>
          <cell r="J216">
            <v>3.61</v>
          </cell>
          <cell r="K216">
            <v>3.73</v>
          </cell>
          <cell r="L216">
            <v>3.89</v>
          </cell>
          <cell r="M216">
            <v>4.0599999999999996</v>
          </cell>
          <cell r="N216">
            <v>4.09</v>
          </cell>
          <cell r="O216">
            <v>4.05</v>
          </cell>
          <cell r="P216">
            <v>4.07</v>
          </cell>
          <cell r="Q216">
            <v>4.12</v>
          </cell>
        </row>
        <row r="217">
          <cell r="A217" t="str">
            <v>12/29/61</v>
          </cell>
          <cell r="C217">
            <v>2.48</v>
          </cell>
          <cell r="D217">
            <v>2.72</v>
          </cell>
          <cell r="E217">
            <v>2.97</v>
          </cell>
          <cell r="F217">
            <v>3.07</v>
          </cell>
          <cell r="G217">
            <v>3.12</v>
          </cell>
          <cell r="H217">
            <v>3.35</v>
          </cell>
          <cell r="I217">
            <v>3.46</v>
          </cell>
          <cell r="J217">
            <v>3.7</v>
          </cell>
          <cell r="K217">
            <v>3.82</v>
          </cell>
          <cell r="L217">
            <v>3.97</v>
          </cell>
          <cell r="M217">
            <v>4.13</v>
          </cell>
          <cell r="N217">
            <v>4.17</v>
          </cell>
          <cell r="O217">
            <v>4.1399999999999997</v>
          </cell>
          <cell r="P217">
            <v>4.1399999999999997</v>
          </cell>
          <cell r="Q217">
            <v>4.1399999999999997</v>
          </cell>
        </row>
        <row r="218">
          <cell r="A218" t="str">
            <v xml:space="preserve"> 1/31/62</v>
          </cell>
          <cell r="C218">
            <v>2.5099999999999998</v>
          </cell>
          <cell r="D218">
            <v>2.71</v>
          </cell>
          <cell r="E218">
            <v>2.94</v>
          </cell>
          <cell r="F218">
            <v>3.11</v>
          </cell>
          <cell r="G218">
            <v>3.19</v>
          </cell>
          <cell r="H218">
            <v>3.44</v>
          </cell>
          <cell r="I218">
            <v>3.56</v>
          </cell>
          <cell r="J218">
            <v>3.8</v>
          </cell>
          <cell r="K218">
            <v>3.93</v>
          </cell>
          <cell r="L218">
            <v>4.0599999999999996</v>
          </cell>
          <cell r="M218">
            <v>4.21</v>
          </cell>
          <cell r="N218">
            <v>4.2300000000000004</v>
          </cell>
          <cell r="O218">
            <v>4.1900000000000004</v>
          </cell>
          <cell r="P218">
            <v>4.16</v>
          </cell>
          <cell r="Q218">
            <v>4.1100000000000003</v>
          </cell>
        </row>
        <row r="219">
          <cell r="A219" t="str">
            <v xml:space="preserve"> 2/28/62</v>
          </cell>
          <cell r="C219">
            <v>2.5</v>
          </cell>
          <cell r="D219">
            <v>2.73</v>
          </cell>
          <cell r="E219">
            <v>2.91</v>
          </cell>
          <cell r="F219">
            <v>3.03</v>
          </cell>
          <cell r="G219">
            <v>3.1</v>
          </cell>
          <cell r="H219">
            <v>3.23</v>
          </cell>
          <cell r="I219">
            <v>3.3</v>
          </cell>
          <cell r="J219">
            <v>3.5</v>
          </cell>
          <cell r="K219">
            <v>3.6</v>
          </cell>
          <cell r="L219">
            <v>3.8</v>
          </cell>
          <cell r="M219">
            <v>4.03</v>
          </cell>
          <cell r="N219">
            <v>4.13</v>
          </cell>
          <cell r="O219">
            <v>4.1500000000000004</v>
          </cell>
          <cell r="P219">
            <v>4.17</v>
          </cell>
          <cell r="Q219">
            <v>4.18</v>
          </cell>
        </row>
        <row r="220">
          <cell r="A220" t="str">
            <v xml:space="preserve"> 3/30/62</v>
          </cell>
          <cell r="C220">
            <v>2.65</v>
          </cell>
          <cell r="D220">
            <v>2.79</v>
          </cell>
          <cell r="E220">
            <v>2.89</v>
          </cell>
          <cell r="F220">
            <v>2.85</v>
          </cell>
          <cell r="G220">
            <v>2.82</v>
          </cell>
          <cell r="H220">
            <v>3.07</v>
          </cell>
          <cell r="I220">
            <v>3.19</v>
          </cell>
          <cell r="J220">
            <v>3.38</v>
          </cell>
          <cell r="K220">
            <v>3.48</v>
          </cell>
          <cell r="L220">
            <v>3.65</v>
          </cell>
          <cell r="M220">
            <v>3.84</v>
          </cell>
          <cell r="N220">
            <v>3.94</v>
          </cell>
          <cell r="O220">
            <v>3.99</v>
          </cell>
          <cell r="P220">
            <v>4.0199999999999996</v>
          </cell>
          <cell r="Q220">
            <v>4.08</v>
          </cell>
        </row>
        <row r="221">
          <cell r="A221" t="str">
            <v xml:space="preserve"> 4/30/62</v>
          </cell>
          <cell r="C221">
            <v>2.71</v>
          </cell>
          <cell r="D221">
            <v>2.74</v>
          </cell>
          <cell r="E221">
            <v>2.79</v>
          </cell>
          <cell r="F221">
            <v>2.9</v>
          </cell>
          <cell r="G221">
            <v>2.96</v>
          </cell>
          <cell r="H221">
            <v>3.16</v>
          </cell>
          <cell r="I221">
            <v>3.26</v>
          </cell>
          <cell r="J221">
            <v>3.35</v>
          </cell>
          <cell r="K221">
            <v>3.4</v>
          </cell>
          <cell r="L221">
            <v>3.55</v>
          </cell>
          <cell r="M221">
            <v>3.72</v>
          </cell>
          <cell r="N221">
            <v>3.83</v>
          </cell>
          <cell r="O221">
            <v>3.89</v>
          </cell>
          <cell r="P221">
            <v>3.94</v>
          </cell>
          <cell r="Q221">
            <v>4.01</v>
          </cell>
        </row>
        <row r="222">
          <cell r="A222" t="str">
            <v xml:space="preserve"> 5/31/62</v>
          </cell>
          <cell r="C222">
            <v>2.4</v>
          </cell>
          <cell r="D222">
            <v>2.72</v>
          </cell>
          <cell r="E222">
            <v>2.77</v>
          </cell>
          <cell r="F222">
            <v>2.86</v>
          </cell>
          <cell r="G222">
            <v>2.91</v>
          </cell>
          <cell r="H222">
            <v>3.05</v>
          </cell>
          <cell r="I222">
            <v>3.12</v>
          </cell>
          <cell r="J222">
            <v>3.31</v>
          </cell>
          <cell r="K222">
            <v>3.41</v>
          </cell>
          <cell r="L222">
            <v>3.61</v>
          </cell>
          <cell r="M222">
            <v>3.84</v>
          </cell>
          <cell r="N222">
            <v>3.91</v>
          </cell>
          <cell r="O222">
            <v>3.91</v>
          </cell>
          <cell r="P222">
            <v>3.95</v>
          </cell>
          <cell r="Q222">
            <v>4.03</v>
          </cell>
        </row>
        <row r="223">
          <cell r="A223" t="str">
            <v xml:space="preserve"> 6/29/62</v>
          </cell>
          <cell r="C223">
            <v>2.95</v>
          </cell>
          <cell r="D223">
            <v>2.94</v>
          </cell>
          <cell r="E223">
            <v>3.02</v>
          </cell>
          <cell r="F223">
            <v>3.02</v>
          </cell>
          <cell r="G223">
            <v>3.02</v>
          </cell>
          <cell r="H223">
            <v>3.25</v>
          </cell>
          <cell r="I223">
            <v>3.36</v>
          </cell>
          <cell r="J223">
            <v>3.55</v>
          </cell>
          <cell r="K223">
            <v>3.64</v>
          </cell>
          <cell r="L223">
            <v>3.81</v>
          </cell>
          <cell r="M223">
            <v>4</v>
          </cell>
          <cell r="N223">
            <v>4.03</v>
          </cell>
          <cell r="O223">
            <v>3.99</v>
          </cell>
          <cell r="P223">
            <v>4.03</v>
          </cell>
          <cell r="Q223">
            <v>4.0999999999999996</v>
          </cell>
        </row>
        <row r="224">
          <cell r="A224" t="str">
            <v xml:space="preserve"> 7/31/62</v>
          </cell>
          <cell r="C224">
            <v>2.66</v>
          </cell>
          <cell r="D224">
            <v>2.87</v>
          </cell>
          <cell r="E224">
            <v>3.08</v>
          </cell>
          <cell r="F224">
            <v>3.16</v>
          </cell>
          <cell r="G224">
            <v>3.2</v>
          </cell>
          <cell r="H224">
            <v>3.36</v>
          </cell>
          <cell r="I224">
            <v>3.44</v>
          </cell>
          <cell r="J224">
            <v>3.62</v>
          </cell>
          <cell r="K224">
            <v>3.7</v>
          </cell>
          <cell r="L224">
            <v>3.86</v>
          </cell>
          <cell r="M224">
            <v>4.05</v>
          </cell>
          <cell r="N224">
            <v>4.08</v>
          </cell>
          <cell r="O224">
            <v>4.05</v>
          </cell>
          <cell r="P224">
            <v>4.0999999999999996</v>
          </cell>
          <cell r="Q224">
            <v>4.1900000000000004</v>
          </cell>
        </row>
        <row r="225">
          <cell r="A225" t="str">
            <v xml:space="preserve"> 8/31/62</v>
          </cell>
          <cell r="C225">
            <v>2.67</v>
          </cell>
          <cell r="D225">
            <v>2.8</v>
          </cell>
          <cell r="E225">
            <v>3.01</v>
          </cell>
          <cell r="F225">
            <v>3.05</v>
          </cell>
          <cell r="G225">
            <v>3.07</v>
          </cell>
          <cell r="H225">
            <v>3.12</v>
          </cell>
          <cell r="I225">
            <v>3.15</v>
          </cell>
          <cell r="J225">
            <v>3.38</v>
          </cell>
          <cell r="K225">
            <v>3.5</v>
          </cell>
          <cell r="L225">
            <v>3.69</v>
          </cell>
          <cell r="M225">
            <v>3.91</v>
          </cell>
          <cell r="N225">
            <v>3.99</v>
          </cell>
          <cell r="O225">
            <v>4.01</v>
          </cell>
          <cell r="P225">
            <v>4.0199999999999996</v>
          </cell>
          <cell r="Q225">
            <v>4.03</v>
          </cell>
        </row>
        <row r="226">
          <cell r="A226" t="str">
            <v xml:space="preserve"> 9/28/62</v>
          </cell>
          <cell r="C226">
            <v>2.73</v>
          </cell>
          <cell r="D226">
            <v>2.79</v>
          </cell>
          <cell r="E226">
            <v>2.97</v>
          </cell>
          <cell r="F226">
            <v>2.91</v>
          </cell>
          <cell r="G226">
            <v>2.87</v>
          </cell>
          <cell r="H226">
            <v>3.01</v>
          </cell>
          <cell r="I226">
            <v>3.08</v>
          </cell>
          <cell r="J226">
            <v>3.35</v>
          </cell>
          <cell r="K226">
            <v>3.49</v>
          </cell>
          <cell r="L226">
            <v>3.68</v>
          </cell>
          <cell r="M226">
            <v>3.89</v>
          </cell>
          <cell r="N226">
            <v>3.98</v>
          </cell>
          <cell r="O226">
            <v>3.99</v>
          </cell>
          <cell r="P226">
            <v>3.99</v>
          </cell>
          <cell r="Q226">
            <v>3.97</v>
          </cell>
        </row>
        <row r="227">
          <cell r="A227" t="str">
            <v>10/31/62</v>
          </cell>
          <cell r="C227">
            <v>2.5</v>
          </cell>
          <cell r="D227">
            <v>2.75</v>
          </cell>
          <cell r="E227">
            <v>2.86</v>
          </cell>
          <cell r="F227">
            <v>2.87</v>
          </cell>
          <cell r="G227">
            <v>2.87</v>
          </cell>
          <cell r="H227">
            <v>3.01</v>
          </cell>
          <cell r="I227">
            <v>3.07</v>
          </cell>
          <cell r="J227">
            <v>3.32</v>
          </cell>
          <cell r="K227">
            <v>3.45</v>
          </cell>
          <cell r="L227">
            <v>3.61</v>
          </cell>
          <cell r="M227">
            <v>3.8</v>
          </cell>
          <cell r="N227">
            <v>3.9</v>
          </cell>
          <cell r="O227">
            <v>3.96</v>
          </cell>
          <cell r="P227">
            <v>3.95</v>
          </cell>
          <cell r="Q227">
            <v>3.92</v>
          </cell>
        </row>
        <row r="228">
          <cell r="A228" t="str">
            <v>11/30/62</v>
          </cell>
          <cell r="C228">
            <v>2.57</v>
          </cell>
          <cell r="D228">
            <v>2.91</v>
          </cell>
          <cell r="E228">
            <v>3</v>
          </cell>
          <cell r="F228">
            <v>2.94</v>
          </cell>
          <cell r="G228">
            <v>2.91</v>
          </cell>
          <cell r="H228">
            <v>3.1</v>
          </cell>
          <cell r="I228">
            <v>3.2</v>
          </cell>
          <cell r="J228">
            <v>3.32</v>
          </cell>
          <cell r="K228">
            <v>3.39</v>
          </cell>
          <cell r="L228">
            <v>3.58</v>
          </cell>
          <cell r="M228">
            <v>3.8</v>
          </cell>
          <cell r="N228">
            <v>3.91</v>
          </cell>
          <cell r="O228">
            <v>3.97</v>
          </cell>
          <cell r="P228">
            <v>3.96</v>
          </cell>
          <cell r="Q228">
            <v>3.94</v>
          </cell>
        </row>
        <row r="229">
          <cell r="A229" t="str">
            <v>12/31/62</v>
          </cell>
          <cell r="C229">
            <v>2.97</v>
          </cell>
          <cell r="D229">
            <v>2.98</v>
          </cell>
          <cell r="E229">
            <v>3.02</v>
          </cell>
          <cell r="F229">
            <v>2.96</v>
          </cell>
          <cell r="G229">
            <v>2.93</v>
          </cell>
          <cell r="H229">
            <v>3.14</v>
          </cell>
          <cell r="I229">
            <v>3.25</v>
          </cell>
          <cell r="J229">
            <v>3.34</v>
          </cell>
          <cell r="K229">
            <v>3.38</v>
          </cell>
          <cell r="L229">
            <v>3.56</v>
          </cell>
          <cell r="M229">
            <v>3.76</v>
          </cell>
          <cell r="N229">
            <v>3.87</v>
          </cell>
          <cell r="O229">
            <v>3.94</v>
          </cell>
          <cell r="P229">
            <v>3.95</v>
          </cell>
          <cell r="Q229">
            <v>3.97</v>
          </cell>
        </row>
        <row r="230">
          <cell r="A230" t="str">
            <v xml:space="preserve"> 1/31/63</v>
          </cell>
          <cell r="C230">
            <v>2.93</v>
          </cell>
          <cell r="D230">
            <v>2.99</v>
          </cell>
          <cell r="E230">
            <v>3.02</v>
          </cell>
          <cell r="F230">
            <v>2.98</v>
          </cell>
          <cell r="G230">
            <v>2.96</v>
          </cell>
          <cell r="H230">
            <v>3.06</v>
          </cell>
          <cell r="I230">
            <v>3.11</v>
          </cell>
          <cell r="J230">
            <v>3.32</v>
          </cell>
          <cell r="K230">
            <v>3.43</v>
          </cell>
          <cell r="L230">
            <v>3.59</v>
          </cell>
          <cell r="M230">
            <v>3.78</v>
          </cell>
          <cell r="N230">
            <v>3.88</v>
          </cell>
          <cell r="O230">
            <v>3.94</v>
          </cell>
          <cell r="P230">
            <v>3.98</v>
          </cell>
          <cell r="Q230">
            <v>4.05</v>
          </cell>
        </row>
        <row r="231">
          <cell r="A231" t="str">
            <v xml:space="preserve"> 2/28/63</v>
          </cell>
          <cell r="C231">
            <v>2.87</v>
          </cell>
          <cell r="D231">
            <v>2.95</v>
          </cell>
          <cell r="E231">
            <v>2.95</v>
          </cell>
          <cell r="F231">
            <v>2.91</v>
          </cell>
          <cell r="G231">
            <v>2.89</v>
          </cell>
          <cell r="H231">
            <v>3.04</v>
          </cell>
          <cell r="I231">
            <v>3.11</v>
          </cell>
          <cell r="J231">
            <v>3.33</v>
          </cell>
          <cell r="K231">
            <v>3.44</v>
          </cell>
          <cell r="L231">
            <v>3.62</v>
          </cell>
          <cell r="M231">
            <v>3.82</v>
          </cell>
          <cell r="N231">
            <v>3.94</v>
          </cell>
          <cell r="O231">
            <v>4.0199999999999996</v>
          </cell>
          <cell r="P231">
            <v>4.0199999999999996</v>
          </cell>
          <cell r="Q231">
            <v>4</v>
          </cell>
        </row>
        <row r="232">
          <cell r="A232" t="str">
            <v xml:space="preserve"> 3/29/63</v>
          </cell>
          <cell r="C232">
            <v>2.85</v>
          </cell>
          <cell r="D232">
            <v>2.98</v>
          </cell>
          <cell r="E232">
            <v>3.01</v>
          </cell>
          <cell r="F232">
            <v>2.99</v>
          </cell>
          <cell r="G232">
            <v>2.98</v>
          </cell>
          <cell r="H232">
            <v>3.06</v>
          </cell>
          <cell r="I232">
            <v>3.1</v>
          </cell>
          <cell r="J232">
            <v>3.35</v>
          </cell>
          <cell r="K232">
            <v>3.48</v>
          </cell>
          <cell r="L232">
            <v>3.65</v>
          </cell>
          <cell r="M232">
            <v>3.85</v>
          </cell>
          <cell r="N232">
            <v>3.96</v>
          </cell>
          <cell r="O232">
            <v>4.03</v>
          </cell>
          <cell r="P232">
            <v>4.03</v>
          </cell>
          <cell r="Q232">
            <v>4.0199999999999996</v>
          </cell>
        </row>
        <row r="233">
          <cell r="A233" t="str">
            <v xml:space="preserve"> 4/30/63</v>
          </cell>
          <cell r="C233">
            <v>2.87</v>
          </cell>
          <cell r="D233">
            <v>2.95</v>
          </cell>
          <cell r="E233">
            <v>3.02</v>
          </cell>
          <cell r="F233">
            <v>3.02</v>
          </cell>
          <cell r="G233">
            <v>3.02</v>
          </cell>
          <cell r="H233">
            <v>3.17</v>
          </cell>
          <cell r="I233">
            <v>3.25</v>
          </cell>
          <cell r="J233">
            <v>3.44</v>
          </cell>
          <cell r="K233">
            <v>3.54</v>
          </cell>
          <cell r="L233">
            <v>3.68</v>
          </cell>
          <cell r="M233">
            <v>3.85</v>
          </cell>
          <cell r="N233">
            <v>3.97</v>
          </cell>
          <cell r="O233">
            <v>4.0599999999999996</v>
          </cell>
          <cell r="P233">
            <v>4.08</v>
          </cell>
          <cell r="Q233">
            <v>4.08</v>
          </cell>
        </row>
        <row r="234">
          <cell r="A234" t="str">
            <v xml:space="preserve"> 5/31/63</v>
          </cell>
          <cell r="C234">
            <v>2.9</v>
          </cell>
          <cell r="D234">
            <v>3.05</v>
          </cell>
          <cell r="E234">
            <v>3.12</v>
          </cell>
          <cell r="F234">
            <v>3.1</v>
          </cell>
          <cell r="G234">
            <v>3.09</v>
          </cell>
          <cell r="H234">
            <v>3.22</v>
          </cell>
          <cell r="I234">
            <v>3.28</v>
          </cell>
          <cell r="J234">
            <v>3.5</v>
          </cell>
          <cell r="K234">
            <v>3.6</v>
          </cell>
          <cell r="L234">
            <v>3.74</v>
          </cell>
          <cell r="M234">
            <v>3.9</v>
          </cell>
          <cell r="N234">
            <v>3.99</v>
          </cell>
          <cell r="O234">
            <v>4.05</v>
          </cell>
          <cell r="P234">
            <v>4.0599999999999996</v>
          </cell>
          <cell r="Q234">
            <v>4.07</v>
          </cell>
        </row>
        <row r="235">
          <cell r="A235" t="str">
            <v xml:space="preserve"> 6/28/63</v>
          </cell>
          <cell r="C235">
            <v>3.01</v>
          </cell>
          <cell r="D235">
            <v>3.04</v>
          </cell>
          <cell r="E235">
            <v>3.14</v>
          </cell>
          <cell r="F235">
            <v>3.1</v>
          </cell>
          <cell r="G235">
            <v>3.09</v>
          </cell>
          <cell r="H235">
            <v>3.22</v>
          </cell>
          <cell r="I235">
            <v>3.29</v>
          </cell>
          <cell r="J235">
            <v>3.54</v>
          </cell>
          <cell r="K235">
            <v>3.66</v>
          </cell>
          <cell r="L235">
            <v>3.8</v>
          </cell>
          <cell r="M235">
            <v>3.96</v>
          </cell>
          <cell r="N235">
            <v>4.03</v>
          </cell>
          <cell r="O235">
            <v>4.05</v>
          </cell>
          <cell r="P235">
            <v>4.0599999999999996</v>
          </cell>
          <cell r="Q235">
            <v>4.07</v>
          </cell>
        </row>
        <row r="236">
          <cell r="A236" t="str">
            <v xml:space="preserve"> 7/31/63</v>
          </cell>
          <cell r="C236">
            <v>3.07</v>
          </cell>
          <cell r="D236">
            <v>3.3</v>
          </cell>
          <cell r="E236">
            <v>3.38</v>
          </cell>
          <cell r="F236">
            <v>3.38</v>
          </cell>
          <cell r="G236">
            <v>3.38</v>
          </cell>
          <cell r="H236">
            <v>3.5</v>
          </cell>
          <cell r="I236">
            <v>3.56</v>
          </cell>
          <cell r="J236">
            <v>3.69</v>
          </cell>
          <cell r="K236">
            <v>3.76</v>
          </cell>
          <cell r="L236">
            <v>3.86</v>
          </cell>
          <cell r="M236">
            <v>3.98</v>
          </cell>
          <cell r="N236">
            <v>4.0199999999999996</v>
          </cell>
          <cell r="O236">
            <v>4.04</v>
          </cell>
          <cell r="P236">
            <v>4.04</v>
          </cell>
          <cell r="Q236">
            <v>4.05</v>
          </cell>
        </row>
        <row r="237">
          <cell r="A237" t="str">
            <v xml:space="preserve"> 8/30/63</v>
          </cell>
          <cell r="C237">
            <v>3.21</v>
          </cell>
          <cell r="D237">
            <v>3.44</v>
          </cell>
          <cell r="E237">
            <v>3.5</v>
          </cell>
          <cell r="F237">
            <v>3.54</v>
          </cell>
          <cell r="G237">
            <v>3.56</v>
          </cell>
          <cell r="H237">
            <v>3.59</v>
          </cell>
          <cell r="I237">
            <v>3.61</v>
          </cell>
          <cell r="J237">
            <v>3.75</v>
          </cell>
          <cell r="K237">
            <v>3.82</v>
          </cell>
          <cell r="L237">
            <v>3.92</v>
          </cell>
          <cell r="M237">
            <v>4.03</v>
          </cell>
          <cell r="N237">
            <v>4.0599999999999996</v>
          </cell>
          <cell r="O237">
            <v>4.05</v>
          </cell>
          <cell r="P237">
            <v>4.04</v>
          </cell>
          <cell r="Q237">
            <v>4.04</v>
          </cell>
        </row>
        <row r="238">
          <cell r="A238" t="str">
            <v xml:space="preserve"> 9/30/63</v>
          </cell>
          <cell r="C238">
            <v>3.45</v>
          </cell>
          <cell r="D238">
            <v>3.52</v>
          </cell>
          <cell r="E238">
            <v>3.54</v>
          </cell>
          <cell r="F238">
            <v>3.55</v>
          </cell>
          <cell r="G238">
            <v>3.55</v>
          </cell>
          <cell r="H238">
            <v>3.58</v>
          </cell>
          <cell r="I238">
            <v>3.59</v>
          </cell>
          <cell r="J238">
            <v>3.74</v>
          </cell>
          <cell r="K238">
            <v>3.81</v>
          </cell>
          <cell r="L238">
            <v>3.92</v>
          </cell>
          <cell r="M238">
            <v>4.04</v>
          </cell>
          <cell r="N238">
            <v>4.09</v>
          </cell>
          <cell r="O238">
            <v>4.09</v>
          </cell>
          <cell r="P238">
            <v>4.1100000000000003</v>
          </cell>
          <cell r="Q238">
            <v>4.13</v>
          </cell>
        </row>
        <row r="239">
          <cell r="A239" t="str">
            <v>10/31/63</v>
          </cell>
          <cell r="C239">
            <v>3.39</v>
          </cell>
          <cell r="D239">
            <v>3.6</v>
          </cell>
          <cell r="E239">
            <v>3.63</v>
          </cell>
          <cell r="F239">
            <v>3.64</v>
          </cell>
          <cell r="G239">
            <v>3.64</v>
          </cell>
          <cell r="H239">
            <v>3.7</v>
          </cell>
          <cell r="I239">
            <v>3.73</v>
          </cell>
          <cell r="J239">
            <v>3.84</v>
          </cell>
          <cell r="K239">
            <v>3.89</v>
          </cell>
          <cell r="L239">
            <v>4</v>
          </cell>
          <cell r="M239">
            <v>4.13</v>
          </cell>
          <cell r="N239">
            <v>4.16</v>
          </cell>
          <cell r="O239">
            <v>4.16</v>
          </cell>
          <cell r="P239">
            <v>4.1500000000000004</v>
          </cell>
          <cell r="Q239">
            <v>4.1399999999999997</v>
          </cell>
        </row>
        <row r="240">
          <cell r="A240" t="str">
            <v>11/29/63</v>
          </cell>
          <cell r="C240">
            <v>3.11</v>
          </cell>
          <cell r="D240">
            <v>3.57</v>
          </cell>
          <cell r="E240">
            <v>3.73</v>
          </cell>
          <cell r="F240">
            <v>3.72</v>
          </cell>
          <cell r="G240">
            <v>3.71</v>
          </cell>
          <cell r="H240">
            <v>3.77</v>
          </cell>
          <cell r="I240">
            <v>3.8</v>
          </cell>
          <cell r="J240">
            <v>3.85</v>
          </cell>
          <cell r="K240">
            <v>3.88</v>
          </cell>
          <cell r="L240">
            <v>3.97</v>
          </cell>
          <cell r="M240">
            <v>4.07</v>
          </cell>
          <cell r="N240">
            <v>4.13</v>
          </cell>
          <cell r="O240">
            <v>4.16</v>
          </cell>
          <cell r="P240">
            <v>4.16</v>
          </cell>
          <cell r="Q240">
            <v>4.17</v>
          </cell>
        </row>
        <row r="241">
          <cell r="A241" t="str">
            <v>12/31/63</v>
          </cell>
          <cell r="C241">
            <v>3.49</v>
          </cell>
          <cell r="D241">
            <v>3.61</v>
          </cell>
          <cell r="E241">
            <v>3.74</v>
          </cell>
          <cell r="F241">
            <v>3.78</v>
          </cell>
          <cell r="G241">
            <v>3.8</v>
          </cell>
          <cell r="H241">
            <v>3.85</v>
          </cell>
          <cell r="I241">
            <v>3.88</v>
          </cell>
          <cell r="J241">
            <v>3.94</v>
          </cell>
          <cell r="K241">
            <v>3.98</v>
          </cell>
          <cell r="L241">
            <v>4.04</v>
          </cell>
          <cell r="M241">
            <v>4.1100000000000003</v>
          </cell>
          <cell r="N241">
            <v>4.17</v>
          </cell>
          <cell r="O241">
            <v>4.21</v>
          </cell>
          <cell r="P241">
            <v>4.21</v>
          </cell>
          <cell r="Q241">
            <v>4.1900000000000004</v>
          </cell>
        </row>
        <row r="242">
          <cell r="A242" t="str">
            <v xml:space="preserve"> 1/31/64</v>
          </cell>
          <cell r="C242">
            <v>3.47</v>
          </cell>
          <cell r="D242">
            <v>3.56</v>
          </cell>
          <cell r="E242">
            <v>3.67</v>
          </cell>
          <cell r="F242">
            <v>3.7</v>
          </cell>
          <cell r="G242">
            <v>3.71</v>
          </cell>
          <cell r="H242">
            <v>3.81</v>
          </cell>
          <cell r="I242">
            <v>3.86</v>
          </cell>
          <cell r="J242">
            <v>3.89</v>
          </cell>
          <cell r="K242">
            <v>3.91</v>
          </cell>
          <cell r="L242">
            <v>4.0199999999999996</v>
          </cell>
          <cell r="M242">
            <v>4.1399999999999997</v>
          </cell>
          <cell r="N242">
            <v>4.1900000000000004</v>
          </cell>
          <cell r="O242">
            <v>4.2</v>
          </cell>
          <cell r="P242">
            <v>4.1900000000000004</v>
          </cell>
          <cell r="Q242">
            <v>4.17</v>
          </cell>
        </row>
        <row r="243">
          <cell r="A243" t="str">
            <v xml:space="preserve"> 2/28/64</v>
          </cell>
          <cell r="C243">
            <v>3.55</v>
          </cell>
          <cell r="D243">
            <v>3.65</v>
          </cell>
          <cell r="E243">
            <v>3.81</v>
          </cell>
          <cell r="F243">
            <v>3.85</v>
          </cell>
          <cell r="G243">
            <v>3.87</v>
          </cell>
          <cell r="H243">
            <v>3.94</v>
          </cell>
          <cell r="I243">
            <v>3.98</v>
          </cell>
          <cell r="J243">
            <v>3.99</v>
          </cell>
          <cell r="K243">
            <v>4</v>
          </cell>
          <cell r="L243">
            <v>4.09</v>
          </cell>
          <cell r="M243">
            <v>4.2</v>
          </cell>
          <cell r="N243">
            <v>4.2300000000000004</v>
          </cell>
          <cell r="O243">
            <v>4.2300000000000004</v>
          </cell>
          <cell r="P243">
            <v>4.2</v>
          </cell>
          <cell r="Q243">
            <v>4.16</v>
          </cell>
        </row>
        <row r="244">
          <cell r="A244" t="str">
            <v xml:space="preserve"> 3/31/64</v>
          </cell>
          <cell r="C244">
            <v>3.55</v>
          </cell>
          <cell r="D244">
            <v>3.62</v>
          </cell>
          <cell r="E244">
            <v>3.78</v>
          </cell>
          <cell r="F244">
            <v>3.86</v>
          </cell>
          <cell r="G244">
            <v>3.9</v>
          </cell>
          <cell r="H244">
            <v>4.0199999999999996</v>
          </cell>
          <cell r="I244">
            <v>4.07</v>
          </cell>
          <cell r="J244">
            <v>4.1100000000000003</v>
          </cell>
          <cell r="K244">
            <v>4.13</v>
          </cell>
          <cell r="L244">
            <v>4.1900000000000004</v>
          </cell>
          <cell r="M244">
            <v>4.25</v>
          </cell>
          <cell r="N244">
            <v>4.2699999999999996</v>
          </cell>
          <cell r="O244">
            <v>4.29</v>
          </cell>
          <cell r="P244">
            <v>4.25</v>
          </cell>
          <cell r="Q244">
            <v>4.18</v>
          </cell>
        </row>
        <row r="245">
          <cell r="A245" t="str">
            <v xml:space="preserve"> 4/30/64</v>
          </cell>
          <cell r="C245">
            <v>3.33</v>
          </cell>
          <cell r="D245">
            <v>3.5</v>
          </cell>
          <cell r="E245">
            <v>3.66</v>
          </cell>
          <cell r="F245">
            <v>3.75</v>
          </cell>
          <cell r="G245">
            <v>3.8</v>
          </cell>
          <cell r="H245">
            <v>3.9</v>
          </cell>
          <cell r="I245">
            <v>3.96</v>
          </cell>
          <cell r="J245">
            <v>4.03</v>
          </cell>
          <cell r="K245">
            <v>4.07</v>
          </cell>
          <cell r="L245">
            <v>4.13</v>
          </cell>
          <cell r="M245">
            <v>4.21</v>
          </cell>
          <cell r="N245">
            <v>4.25</v>
          </cell>
          <cell r="O245">
            <v>4.28</v>
          </cell>
          <cell r="P245">
            <v>4.24</v>
          </cell>
          <cell r="Q245">
            <v>4.17</v>
          </cell>
        </row>
        <row r="246">
          <cell r="A246" t="str">
            <v xml:space="preserve"> 5/28/64</v>
          </cell>
          <cell r="C246">
            <v>3.18</v>
          </cell>
          <cell r="D246">
            <v>3.52</v>
          </cell>
          <cell r="E246">
            <v>3.64</v>
          </cell>
          <cell r="F246">
            <v>3.76</v>
          </cell>
          <cell r="G246">
            <v>3.83</v>
          </cell>
          <cell r="H246">
            <v>3.89</v>
          </cell>
          <cell r="I246">
            <v>3.92</v>
          </cell>
          <cell r="J246">
            <v>3.96</v>
          </cell>
          <cell r="K246">
            <v>3.99</v>
          </cell>
          <cell r="L246">
            <v>4.07</v>
          </cell>
          <cell r="M246">
            <v>4.16</v>
          </cell>
          <cell r="N246">
            <v>4.21</v>
          </cell>
          <cell r="O246">
            <v>4.24</v>
          </cell>
          <cell r="P246">
            <v>4.2</v>
          </cell>
          <cell r="Q246">
            <v>4.1399999999999997</v>
          </cell>
        </row>
        <row r="247">
          <cell r="A247" t="str">
            <v xml:space="preserve"> 6/30/64</v>
          </cell>
          <cell r="C247">
            <v>3.41</v>
          </cell>
          <cell r="D247">
            <v>3.54</v>
          </cell>
          <cell r="E247">
            <v>3.61</v>
          </cell>
          <cell r="F247">
            <v>3.72</v>
          </cell>
          <cell r="G247">
            <v>3.78</v>
          </cell>
          <cell r="H247">
            <v>3.78</v>
          </cell>
          <cell r="I247">
            <v>3.78</v>
          </cell>
          <cell r="J247">
            <v>3.89</v>
          </cell>
          <cell r="K247">
            <v>3.95</v>
          </cell>
          <cell r="L247">
            <v>4.0199999999999996</v>
          </cell>
          <cell r="M247">
            <v>4.1100000000000003</v>
          </cell>
          <cell r="N247">
            <v>4.16</v>
          </cell>
          <cell r="O247">
            <v>4.1900000000000004</v>
          </cell>
          <cell r="P247">
            <v>4.18</v>
          </cell>
          <cell r="Q247">
            <v>4.1399999999999997</v>
          </cell>
        </row>
        <row r="248">
          <cell r="A248" t="str">
            <v xml:space="preserve"> 7/31/64</v>
          </cell>
          <cell r="C248">
            <v>3.33</v>
          </cell>
          <cell r="D248">
            <v>3.53</v>
          </cell>
          <cell r="E248">
            <v>3.63</v>
          </cell>
          <cell r="F248">
            <v>3.69</v>
          </cell>
          <cell r="G248">
            <v>3.72</v>
          </cell>
          <cell r="H248">
            <v>3.69</v>
          </cell>
          <cell r="I248">
            <v>3.67</v>
          </cell>
          <cell r="J248">
            <v>3.83</v>
          </cell>
          <cell r="K248">
            <v>3.91</v>
          </cell>
          <cell r="L248">
            <v>4.01</v>
          </cell>
          <cell r="M248">
            <v>4.1100000000000003</v>
          </cell>
          <cell r="N248">
            <v>4.18</v>
          </cell>
          <cell r="O248">
            <v>4.2300000000000004</v>
          </cell>
          <cell r="P248">
            <v>4.21</v>
          </cell>
          <cell r="Q248">
            <v>4.16</v>
          </cell>
        </row>
        <row r="249">
          <cell r="A249" t="str">
            <v xml:space="preserve"> 8/31/64</v>
          </cell>
          <cell r="C249">
            <v>3.31</v>
          </cell>
          <cell r="D249">
            <v>3.56</v>
          </cell>
          <cell r="E249">
            <v>3.7</v>
          </cell>
          <cell r="F249">
            <v>3.77</v>
          </cell>
          <cell r="G249">
            <v>3.81</v>
          </cell>
          <cell r="H249">
            <v>3.79</v>
          </cell>
          <cell r="I249">
            <v>3.78</v>
          </cell>
          <cell r="J249">
            <v>3.9</v>
          </cell>
          <cell r="K249">
            <v>3.96</v>
          </cell>
          <cell r="L249">
            <v>4.05</v>
          </cell>
          <cell r="M249">
            <v>4.1500000000000004</v>
          </cell>
          <cell r="N249">
            <v>4.21</v>
          </cell>
          <cell r="O249">
            <v>4.24</v>
          </cell>
          <cell r="P249">
            <v>4.22</v>
          </cell>
          <cell r="Q249">
            <v>4.16</v>
          </cell>
        </row>
        <row r="250">
          <cell r="A250" t="str">
            <v xml:space="preserve"> 9/30/64</v>
          </cell>
          <cell r="C250">
            <v>3.55</v>
          </cell>
          <cell r="D250">
            <v>3.63</v>
          </cell>
          <cell r="E250">
            <v>3.81</v>
          </cell>
          <cell r="F250">
            <v>3.83</v>
          </cell>
          <cell r="G250">
            <v>3.85</v>
          </cell>
          <cell r="H250">
            <v>3.84</v>
          </cell>
          <cell r="I250">
            <v>3.84</v>
          </cell>
          <cell r="J250">
            <v>3.93</v>
          </cell>
          <cell r="K250">
            <v>3.97</v>
          </cell>
          <cell r="L250">
            <v>4.05</v>
          </cell>
          <cell r="M250">
            <v>4.13</v>
          </cell>
          <cell r="N250">
            <v>4.1900000000000004</v>
          </cell>
          <cell r="O250">
            <v>4.24</v>
          </cell>
          <cell r="P250">
            <v>4.22</v>
          </cell>
          <cell r="Q250">
            <v>4.17</v>
          </cell>
        </row>
        <row r="251">
          <cell r="A251" t="str">
            <v>10/30/64</v>
          </cell>
          <cell r="C251">
            <v>3.48</v>
          </cell>
          <cell r="D251">
            <v>3.63</v>
          </cell>
          <cell r="E251">
            <v>3.8</v>
          </cell>
          <cell r="F251">
            <v>3.86</v>
          </cell>
          <cell r="G251">
            <v>3.88</v>
          </cell>
          <cell r="H251">
            <v>3.89</v>
          </cell>
          <cell r="I251">
            <v>3.89</v>
          </cell>
          <cell r="J251">
            <v>3.96</v>
          </cell>
          <cell r="K251">
            <v>3.99</v>
          </cell>
          <cell r="L251">
            <v>4.0599999999999996</v>
          </cell>
          <cell r="M251">
            <v>4.13</v>
          </cell>
          <cell r="N251">
            <v>4.18</v>
          </cell>
          <cell r="O251">
            <v>4.21</v>
          </cell>
          <cell r="P251">
            <v>4.1900000000000004</v>
          </cell>
          <cell r="Q251">
            <v>4.16</v>
          </cell>
        </row>
        <row r="252">
          <cell r="A252" t="str">
            <v>11/30/64</v>
          </cell>
          <cell r="C252">
            <v>3.59</v>
          </cell>
          <cell r="D252">
            <v>3.92</v>
          </cell>
          <cell r="E252">
            <v>4.0999999999999996</v>
          </cell>
          <cell r="F252">
            <v>4.13</v>
          </cell>
          <cell r="G252">
            <v>4.1399999999999997</v>
          </cell>
          <cell r="H252">
            <v>4.12</v>
          </cell>
          <cell r="I252">
            <v>4.1100000000000003</v>
          </cell>
          <cell r="J252">
            <v>4.13</v>
          </cell>
          <cell r="K252">
            <v>4.13</v>
          </cell>
          <cell r="L252">
            <v>4.1500000000000004</v>
          </cell>
          <cell r="M252">
            <v>4.18</v>
          </cell>
          <cell r="N252">
            <v>4.21</v>
          </cell>
          <cell r="O252">
            <v>4.2300000000000004</v>
          </cell>
          <cell r="P252">
            <v>4.21</v>
          </cell>
          <cell r="Q252">
            <v>4.17</v>
          </cell>
        </row>
        <row r="253">
          <cell r="A253" t="str">
            <v>12/31/64</v>
          </cell>
          <cell r="C253">
            <v>3.5</v>
          </cell>
          <cell r="D253">
            <v>3.9</v>
          </cell>
          <cell r="E253">
            <v>4.03</v>
          </cell>
          <cell r="F253">
            <v>3.99</v>
          </cell>
          <cell r="G253">
            <v>3.97</v>
          </cell>
          <cell r="H253">
            <v>3.96</v>
          </cell>
          <cell r="I253">
            <v>3.96</v>
          </cell>
          <cell r="J253">
            <v>3.99</v>
          </cell>
          <cell r="K253">
            <v>4.01</v>
          </cell>
          <cell r="L253">
            <v>4.07</v>
          </cell>
          <cell r="M253">
            <v>4.1500000000000004</v>
          </cell>
          <cell r="N253">
            <v>4.21</v>
          </cell>
          <cell r="O253">
            <v>4.26</v>
          </cell>
          <cell r="P253">
            <v>4.2300000000000004</v>
          </cell>
          <cell r="Q253">
            <v>4.17</v>
          </cell>
        </row>
        <row r="254">
          <cell r="A254" t="str">
            <v xml:space="preserve"> 1/29/65</v>
          </cell>
          <cell r="C254">
            <v>3.88</v>
          </cell>
          <cell r="D254">
            <v>3.95</v>
          </cell>
          <cell r="E254">
            <v>4.07</v>
          </cell>
          <cell r="F254">
            <v>4.01</v>
          </cell>
          <cell r="G254">
            <v>3.98</v>
          </cell>
          <cell r="H254">
            <v>3.95</v>
          </cell>
          <cell r="I254">
            <v>3.93</v>
          </cell>
          <cell r="J254">
            <v>3.99</v>
          </cell>
          <cell r="K254">
            <v>4.01</v>
          </cell>
          <cell r="L254">
            <v>4.07</v>
          </cell>
          <cell r="M254">
            <v>4.1399999999999997</v>
          </cell>
          <cell r="N254">
            <v>4.2</v>
          </cell>
          <cell r="O254">
            <v>4.25</v>
          </cell>
          <cell r="P254">
            <v>4.22</v>
          </cell>
          <cell r="Q254">
            <v>4.16</v>
          </cell>
        </row>
        <row r="255">
          <cell r="A255" t="str">
            <v xml:space="preserve"> 2/26/65</v>
          </cell>
          <cell r="C255">
            <v>3.88</v>
          </cell>
          <cell r="D255">
            <v>4.09</v>
          </cell>
          <cell r="E255">
            <v>4.12</v>
          </cell>
          <cell r="F255">
            <v>4.12</v>
          </cell>
          <cell r="G255">
            <v>4.12</v>
          </cell>
          <cell r="H255">
            <v>4.07</v>
          </cell>
          <cell r="I255">
            <v>4.05</v>
          </cell>
          <cell r="J255">
            <v>4.03</v>
          </cell>
          <cell r="K255">
            <v>4.0199999999999996</v>
          </cell>
          <cell r="L255">
            <v>4.0999999999999996</v>
          </cell>
          <cell r="M255">
            <v>4.1900000000000004</v>
          </cell>
          <cell r="N255">
            <v>4.22</v>
          </cell>
          <cell r="O255">
            <v>4.22</v>
          </cell>
          <cell r="P255">
            <v>4.21</v>
          </cell>
          <cell r="Q255">
            <v>4.1900000000000004</v>
          </cell>
        </row>
        <row r="256">
          <cell r="A256" t="str">
            <v xml:space="preserve"> 3/31/65</v>
          </cell>
          <cell r="C256">
            <v>3.83</v>
          </cell>
          <cell r="D256">
            <v>4.03</v>
          </cell>
          <cell r="E256">
            <v>4.0599999999999996</v>
          </cell>
          <cell r="F256">
            <v>4.0599999999999996</v>
          </cell>
          <cell r="G256">
            <v>4.0599999999999996</v>
          </cell>
          <cell r="H256">
            <v>4.03</v>
          </cell>
          <cell r="I256">
            <v>4.01</v>
          </cell>
          <cell r="J256">
            <v>4.0199999999999996</v>
          </cell>
          <cell r="K256">
            <v>4.03</v>
          </cell>
          <cell r="L256">
            <v>4.09</v>
          </cell>
          <cell r="M256">
            <v>4.17</v>
          </cell>
          <cell r="N256">
            <v>4.2</v>
          </cell>
          <cell r="O256">
            <v>4.22</v>
          </cell>
          <cell r="P256">
            <v>4.21</v>
          </cell>
          <cell r="Q256">
            <v>4.18</v>
          </cell>
        </row>
        <row r="257">
          <cell r="A257" t="str">
            <v xml:space="preserve"> 4/29/65</v>
          </cell>
          <cell r="C257">
            <v>3.92</v>
          </cell>
          <cell r="D257">
            <v>4.03</v>
          </cell>
          <cell r="E257">
            <v>4.07</v>
          </cell>
          <cell r="F257">
            <v>4.05</v>
          </cell>
          <cell r="G257">
            <v>4.05</v>
          </cell>
          <cell r="H257">
            <v>4.0199999999999996</v>
          </cell>
          <cell r="I257">
            <v>4.01</v>
          </cell>
          <cell r="J257">
            <v>4.01</v>
          </cell>
          <cell r="K257">
            <v>4.01</v>
          </cell>
          <cell r="L257">
            <v>4.09</v>
          </cell>
          <cell r="M257">
            <v>4.17</v>
          </cell>
          <cell r="N257">
            <v>4.21</v>
          </cell>
          <cell r="O257">
            <v>4.2300000000000004</v>
          </cell>
          <cell r="P257">
            <v>4.21</v>
          </cell>
          <cell r="Q257">
            <v>4.17</v>
          </cell>
        </row>
        <row r="258">
          <cell r="A258" t="str">
            <v xml:space="preserve"> 5/28/65</v>
          </cell>
          <cell r="C258">
            <v>3.79</v>
          </cell>
          <cell r="D258">
            <v>3.97</v>
          </cell>
          <cell r="E258">
            <v>4.04</v>
          </cell>
          <cell r="F258">
            <v>4.04</v>
          </cell>
          <cell r="G258">
            <v>4.05</v>
          </cell>
          <cell r="H258">
            <v>4</v>
          </cell>
          <cell r="I258">
            <v>3.98</v>
          </cell>
          <cell r="J258">
            <v>4</v>
          </cell>
          <cell r="K258">
            <v>4.01</v>
          </cell>
          <cell r="L258">
            <v>4.09</v>
          </cell>
          <cell r="M258">
            <v>4.1900000000000004</v>
          </cell>
          <cell r="N258">
            <v>4.2300000000000004</v>
          </cell>
          <cell r="O258">
            <v>4.2300000000000004</v>
          </cell>
          <cell r="P258">
            <v>4.22</v>
          </cell>
          <cell r="Q258">
            <v>4.1900000000000004</v>
          </cell>
        </row>
        <row r="259">
          <cell r="A259" t="str">
            <v xml:space="preserve"> 6/30/65</v>
          </cell>
          <cell r="C259">
            <v>3.8</v>
          </cell>
          <cell r="D259">
            <v>3.9</v>
          </cell>
          <cell r="E259">
            <v>3.93</v>
          </cell>
          <cell r="F259">
            <v>3.93</v>
          </cell>
          <cell r="G259">
            <v>3.93</v>
          </cell>
          <cell r="H259">
            <v>3.9</v>
          </cell>
          <cell r="I259">
            <v>3.88</v>
          </cell>
          <cell r="J259">
            <v>3.98</v>
          </cell>
          <cell r="K259">
            <v>4.03</v>
          </cell>
          <cell r="L259">
            <v>4.09</v>
          </cell>
          <cell r="M259">
            <v>4.16</v>
          </cell>
          <cell r="N259">
            <v>4.2</v>
          </cell>
          <cell r="O259">
            <v>4.2300000000000004</v>
          </cell>
          <cell r="P259">
            <v>4.21</v>
          </cell>
          <cell r="Q259">
            <v>4.18</v>
          </cell>
        </row>
        <row r="260">
          <cell r="A260" t="str">
            <v xml:space="preserve"> 7/30/65</v>
          </cell>
          <cell r="C260">
            <v>3.84</v>
          </cell>
          <cell r="D260">
            <v>3.92</v>
          </cell>
          <cell r="E260">
            <v>3.97</v>
          </cell>
          <cell r="F260">
            <v>3.97</v>
          </cell>
          <cell r="G260">
            <v>3.97</v>
          </cell>
          <cell r="H260">
            <v>3.96</v>
          </cell>
          <cell r="I260">
            <v>3.96</v>
          </cell>
          <cell r="J260">
            <v>4.04</v>
          </cell>
          <cell r="K260">
            <v>4.08</v>
          </cell>
          <cell r="L260">
            <v>4.13</v>
          </cell>
          <cell r="M260">
            <v>4.2</v>
          </cell>
          <cell r="N260">
            <v>4.2300000000000004</v>
          </cell>
          <cell r="O260">
            <v>4.25</v>
          </cell>
          <cell r="P260">
            <v>4.2300000000000004</v>
          </cell>
          <cell r="Q260">
            <v>4.1900000000000004</v>
          </cell>
        </row>
        <row r="261">
          <cell r="A261" t="str">
            <v xml:space="preserve"> 8/31/65</v>
          </cell>
          <cell r="C261">
            <v>3.8</v>
          </cell>
          <cell r="D261">
            <v>3.95</v>
          </cell>
          <cell r="E261">
            <v>4.08</v>
          </cell>
          <cell r="F261">
            <v>4.1100000000000003</v>
          </cell>
          <cell r="G261">
            <v>4.12</v>
          </cell>
          <cell r="H261">
            <v>4.07</v>
          </cell>
          <cell r="I261">
            <v>4.04</v>
          </cell>
          <cell r="J261">
            <v>4.13</v>
          </cell>
          <cell r="K261">
            <v>4.18</v>
          </cell>
          <cell r="L261">
            <v>4.22</v>
          </cell>
          <cell r="M261">
            <v>4.26</v>
          </cell>
          <cell r="N261">
            <v>4.29</v>
          </cell>
          <cell r="O261">
            <v>4.32</v>
          </cell>
          <cell r="P261">
            <v>4.29</v>
          </cell>
          <cell r="Q261">
            <v>4.24</v>
          </cell>
        </row>
        <row r="262">
          <cell r="A262" t="str">
            <v xml:space="preserve"> 9/30/65</v>
          </cell>
          <cell r="C262">
            <v>3.93</v>
          </cell>
          <cell r="D262">
            <v>4.12</v>
          </cell>
          <cell r="E262">
            <v>4.29</v>
          </cell>
          <cell r="F262">
            <v>4.33</v>
          </cell>
          <cell r="G262">
            <v>4.3499999999999996</v>
          </cell>
          <cell r="H262">
            <v>4.24</v>
          </cell>
          <cell r="I262">
            <v>4.1900000000000004</v>
          </cell>
          <cell r="J262">
            <v>4.26</v>
          </cell>
          <cell r="K262">
            <v>4.3</v>
          </cell>
          <cell r="L262">
            <v>4.33</v>
          </cell>
          <cell r="M262">
            <v>4.37</v>
          </cell>
          <cell r="N262">
            <v>4.37</v>
          </cell>
          <cell r="O262">
            <v>4.37</v>
          </cell>
          <cell r="P262">
            <v>4.34</v>
          </cell>
          <cell r="Q262">
            <v>4.29</v>
          </cell>
        </row>
        <row r="263">
          <cell r="A263" t="str">
            <v>10/29/65</v>
          </cell>
          <cell r="C263">
            <v>3.96</v>
          </cell>
          <cell r="D263">
            <v>4.1500000000000004</v>
          </cell>
          <cell r="E263">
            <v>4.3099999999999996</v>
          </cell>
          <cell r="F263">
            <v>4.32</v>
          </cell>
          <cell r="G263">
            <v>4.33</v>
          </cell>
          <cell r="H263">
            <v>4.28</v>
          </cell>
          <cell r="I263">
            <v>4.26</v>
          </cell>
          <cell r="J263">
            <v>4.32</v>
          </cell>
          <cell r="K263">
            <v>4.3600000000000003</v>
          </cell>
          <cell r="L263">
            <v>4.38</v>
          </cell>
          <cell r="M263">
            <v>4.41</v>
          </cell>
          <cell r="N263">
            <v>4.42</v>
          </cell>
          <cell r="O263">
            <v>4.43</v>
          </cell>
          <cell r="P263">
            <v>4.37</v>
          </cell>
          <cell r="Q263">
            <v>4.2699999999999996</v>
          </cell>
        </row>
        <row r="264">
          <cell r="A264" t="str">
            <v>11/30/65</v>
          </cell>
          <cell r="C264">
            <v>3.81</v>
          </cell>
          <cell r="D264">
            <v>4.22</v>
          </cell>
          <cell r="E264">
            <v>4.3899999999999997</v>
          </cell>
          <cell r="F264">
            <v>4.4000000000000004</v>
          </cell>
          <cell r="G264">
            <v>4.41</v>
          </cell>
          <cell r="H264">
            <v>4.38</v>
          </cell>
          <cell r="I264">
            <v>4.3600000000000003</v>
          </cell>
          <cell r="J264">
            <v>4.3899999999999997</v>
          </cell>
          <cell r="K264">
            <v>4.4000000000000004</v>
          </cell>
          <cell r="L264">
            <v>4.4400000000000004</v>
          </cell>
          <cell r="M264">
            <v>4.4800000000000004</v>
          </cell>
          <cell r="N264">
            <v>4.4800000000000004</v>
          </cell>
          <cell r="O264">
            <v>4.47</v>
          </cell>
          <cell r="P264">
            <v>4.4000000000000004</v>
          </cell>
          <cell r="Q264">
            <v>4.3</v>
          </cell>
        </row>
        <row r="265">
          <cell r="A265" t="str">
            <v>12/31/65</v>
          </cell>
          <cell r="C265">
            <v>4.45</v>
          </cell>
          <cell r="D265">
            <v>4.59</v>
          </cell>
          <cell r="E265">
            <v>4.82</v>
          </cell>
          <cell r="F265">
            <v>4.88</v>
          </cell>
          <cell r="G265">
            <v>4.91</v>
          </cell>
          <cell r="H265">
            <v>4.95</v>
          </cell>
          <cell r="I265">
            <v>4.9800000000000004</v>
          </cell>
          <cell r="J265">
            <v>4.9000000000000004</v>
          </cell>
          <cell r="K265">
            <v>4.8600000000000003</v>
          </cell>
          <cell r="L265">
            <v>4.8099999999999996</v>
          </cell>
          <cell r="M265">
            <v>4.74</v>
          </cell>
          <cell r="N265">
            <v>4.6500000000000004</v>
          </cell>
          <cell r="O265">
            <v>4.5599999999999996</v>
          </cell>
          <cell r="P265">
            <v>4.49</v>
          </cell>
          <cell r="Q265">
            <v>4.38</v>
          </cell>
        </row>
        <row r="266">
          <cell r="A266" t="str">
            <v xml:space="preserve"> 1/31/66</v>
          </cell>
          <cell r="C266">
            <v>4.57</v>
          </cell>
          <cell r="D266">
            <v>4.75</v>
          </cell>
          <cell r="E266">
            <v>4.8499999999999996</v>
          </cell>
          <cell r="F266">
            <v>4.8600000000000003</v>
          </cell>
          <cell r="G266">
            <v>4.8600000000000003</v>
          </cell>
          <cell r="H266">
            <v>4.92</v>
          </cell>
          <cell r="I266">
            <v>4.95</v>
          </cell>
          <cell r="J266">
            <v>4.9400000000000004</v>
          </cell>
          <cell r="K266">
            <v>4.9400000000000004</v>
          </cell>
          <cell r="L266">
            <v>4.9000000000000004</v>
          </cell>
          <cell r="M266">
            <v>4.8499999999999996</v>
          </cell>
          <cell r="N266">
            <v>4.7300000000000004</v>
          </cell>
          <cell r="O266">
            <v>4.58</v>
          </cell>
          <cell r="P266">
            <v>4.54</v>
          </cell>
          <cell r="Q266">
            <v>4.5</v>
          </cell>
        </row>
        <row r="267">
          <cell r="A267" t="str">
            <v xml:space="preserve"> 2/28/66</v>
          </cell>
          <cell r="C267">
            <v>4.5</v>
          </cell>
          <cell r="D267">
            <v>4.7699999999999996</v>
          </cell>
          <cell r="E267">
            <v>4.96</v>
          </cell>
          <cell r="F267">
            <v>4.9800000000000004</v>
          </cell>
          <cell r="G267">
            <v>4.99</v>
          </cell>
          <cell r="H267">
            <v>5.01</v>
          </cell>
          <cell r="I267">
            <v>5.0199999999999996</v>
          </cell>
          <cell r="J267">
            <v>5.05</v>
          </cell>
          <cell r="K267">
            <v>5.0599999999999996</v>
          </cell>
          <cell r="L267">
            <v>5.12</v>
          </cell>
          <cell r="M267">
            <v>5.2</v>
          </cell>
          <cell r="N267">
            <v>5.05</v>
          </cell>
          <cell r="O267">
            <v>4.83</v>
          </cell>
          <cell r="P267">
            <v>4.74</v>
          </cell>
          <cell r="Q267">
            <v>4.6399999999999997</v>
          </cell>
        </row>
        <row r="268">
          <cell r="A268" t="str">
            <v xml:space="preserve"> 3/31/66</v>
          </cell>
          <cell r="C268">
            <v>4.34</v>
          </cell>
          <cell r="D268">
            <v>4.6500000000000004</v>
          </cell>
          <cell r="E268">
            <v>4.82</v>
          </cell>
          <cell r="F268">
            <v>4.8499999999999996</v>
          </cell>
          <cell r="G268">
            <v>4.87</v>
          </cell>
          <cell r="H268">
            <v>4.84</v>
          </cell>
          <cell r="I268">
            <v>4.83</v>
          </cell>
          <cell r="J268">
            <v>4.79</v>
          </cell>
          <cell r="K268">
            <v>4.7699999999999996</v>
          </cell>
          <cell r="L268">
            <v>4.79</v>
          </cell>
          <cell r="M268">
            <v>4.82</v>
          </cell>
          <cell r="N268">
            <v>4.74</v>
          </cell>
          <cell r="O268">
            <v>4.63</v>
          </cell>
          <cell r="P268">
            <v>4.57</v>
          </cell>
          <cell r="Q268">
            <v>4.5</v>
          </cell>
        </row>
        <row r="269">
          <cell r="A269" t="str">
            <v xml:space="preserve"> 4/29/66</v>
          </cell>
          <cell r="C269">
            <v>4.66</v>
          </cell>
          <cell r="D269">
            <v>4.7300000000000004</v>
          </cell>
          <cell r="E269">
            <v>4.8499999999999996</v>
          </cell>
          <cell r="F269">
            <v>4.9000000000000004</v>
          </cell>
          <cell r="G269">
            <v>4.93</v>
          </cell>
          <cell r="H269">
            <v>4.93</v>
          </cell>
          <cell r="I269">
            <v>4.93</v>
          </cell>
          <cell r="J269">
            <v>4.87</v>
          </cell>
          <cell r="K269">
            <v>4.84</v>
          </cell>
          <cell r="L269">
            <v>4.8600000000000003</v>
          </cell>
          <cell r="M269">
            <v>4.8899999999999997</v>
          </cell>
          <cell r="N269">
            <v>4.82</v>
          </cell>
          <cell r="O269">
            <v>4.7300000000000004</v>
          </cell>
          <cell r="P269">
            <v>4.63</v>
          </cell>
          <cell r="Q269">
            <v>4.5</v>
          </cell>
        </row>
        <row r="270">
          <cell r="A270" t="str">
            <v xml:space="preserve"> 5/31/66</v>
          </cell>
          <cell r="C270">
            <v>4.53</v>
          </cell>
          <cell r="D270">
            <v>4.7</v>
          </cell>
          <cell r="E270">
            <v>4.9400000000000004</v>
          </cell>
          <cell r="F270">
            <v>5.0199999999999996</v>
          </cell>
          <cell r="G270">
            <v>5.0599999999999996</v>
          </cell>
          <cell r="H270">
            <v>5.1100000000000003</v>
          </cell>
          <cell r="I270">
            <v>5.14</v>
          </cell>
          <cell r="J270">
            <v>5.09</v>
          </cell>
          <cell r="K270">
            <v>5.07</v>
          </cell>
          <cell r="L270">
            <v>5</v>
          </cell>
          <cell r="M270">
            <v>4.93</v>
          </cell>
          <cell r="N270">
            <v>4.83</v>
          </cell>
          <cell r="O270">
            <v>4.7300000000000004</v>
          </cell>
          <cell r="P270">
            <v>4.6900000000000004</v>
          </cell>
          <cell r="Q270">
            <v>4.66</v>
          </cell>
        </row>
        <row r="271">
          <cell r="A271" t="str">
            <v xml:space="preserve"> 6/30/66</v>
          </cell>
          <cell r="C271">
            <v>4.49</v>
          </cell>
          <cell r="D271">
            <v>4.66</v>
          </cell>
          <cell r="E271">
            <v>4.8099999999999996</v>
          </cell>
          <cell r="F271">
            <v>4.96</v>
          </cell>
          <cell r="G271">
            <v>5.05</v>
          </cell>
          <cell r="H271">
            <v>5.16</v>
          </cell>
          <cell r="I271">
            <v>5.22</v>
          </cell>
          <cell r="J271">
            <v>5.22</v>
          </cell>
          <cell r="K271">
            <v>5.22</v>
          </cell>
          <cell r="L271">
            <v>5.16</v>
          </cell>
          <cell r="M271">
            <v>5.09</v>
          </cell>
          <cell r="N271">
            <v>5</v>
          </cell>
          <cell r="O271">
            <v>4.92</v>
          </cell>
          <cell r="P271">
            <v>4.7699999999999996</v>
          </cell>
          <cell r="Q271">
            <v>4.5599999999999996</v>
          </cell>
        </row>
        <row r="272">
          <cell r="A272" t="str">
            <v xml:space="preserve"> 7/29/66</v>
          </cell>
          <cell r="C272">
            <v>4.5599999999999996</v>
          </cell>
          <cell r="D272">
            <v>4.84</v>
          </cell>
          <cell r="E272">
            <v>5.0599999999999996</v>
          </cell>
          <cell r="F272">
            <v>5.16</v>
          </cell>
          <cell r="G272">
            <v>5.21</v>
          </cell>
          <cell r="H272">
            <v>5.26</v>
          </cell>
          <cell r="I272">
            <v>5.28</v>
          </cell>
          <cell r="J272">
            <v>5.32</v>
          </cell>
          <cell r="K272">
            <v>5.33</v>
          </cell>
          <cell r="L272">
            <v>5.31</v>
          </cell>
          <cell r="M272">
            <v>5.29</v>
          </cell>
          <cell r="N272">
            <v>5.12</v>
          </cell>
          <cell r="O272">
            <v>4.9000000000000004</v>
          </cell>
          <cell r="P272">
            <v>4.76</v>
          </cell>
          <cell r="Q272">
            <v>4.58</v>
          </cell>
        </row>
        <row r="273">
          <cell r="A273" t="str">
            <v xml:space="preserve"> 8/31/66</v>
          </cell>
          <cell r="C273">
            <v>4.78</v>
          </cell>
          <cell r="D273">
            <v>5.1100000000000003</v>
          </cell>
          <cell r="E273">
            <v>5.69</v>
          </cell>
          <cell r="F273">
            <v>5.78</v>
          </cell>
          <cell r="G273">
            <v>5.82</v>
          </cell>
          <cell r="H273">
            <v>5.89</v>
          </cell>
          <cell r="I273">
            <v>5.92</v>
          </cell>
          <cell r="J273">
            <v>5.86</v>
          </cell>
          <cell r="K273">
            <v>5.82</v>
          </cell>
          <cell r="L273">
            <v>5.7</v>
          </cell>
          <cell r="M273">
            <v>5.55</v>
          </cell>
          <cell r="N273">
            <v>5.3</v>
          </cell>
          <cell r="O273">
            <v>5.03</v>
          </cell>
          <cell r="P273">
            <v>4.88</v>
          </cell>
          <cell r="Q273">
            <v>4.6900000000000004</v>
          </cell>
        </row>
        <row r="274">
          <cell r="A274" t="str">
            <v xml:space="preserve"> 9/30/66</v>
          </cell>
          <cell r="C274">
            <v>5.26</v>
          </cell>
          <cell r="D274">
            <v>5.51</v>
          </cell>
          <cell r="E274">
            <v>5.86</v>
          </cell>
          <cell r="F274">
            <v>5.81</v>
          </cell>
          <cell r="G274">
            <v>5.78</v>
          </cell>
          <cell r="H274">
            <v>5.65</v>
          </cell>
          <cell r="I274">
            <v>5.58</v>
          </cell>
          <cell r="J274">
            <v>5.53</v>
          </cell>
          <cell r="K274">
            <v>5.51</v>
          </cell>
          <cell r="L274">
            <v>5.34</v>
          </cell>
          <cell r="M274">
            <v>5.14</v>
          </cell>
          <cell r="N274">
            <v>5.01</v>
          </cell>
          <cell r="O274">
            <v>4.92</v>
          </cell>
          <cell r="P274">
            <v>4.7699999999999996</v>
          </cell>
          <cell r="Q274">
            <v>4.57</v>
          </cell>
        </row>
        <row r="275">
          <cell r="A275" t="str">
            <v>10/31/66</v>
          </cell>
          <cell r="C275">
            <v>4.7300000000000004</v>
          </cell>
          <cell r="D275">
            <v>5.42</v>
          </cell>
          <cell r="E275">
            <v>5.69</v>
          </cell>
          <cell r="F275">
            <v>5.63</v>
          </cell>
          <cell r="G275">
            <v>5.6</v>
          </cell>
          <cell r="H275">
            <v>5.46</v>
          </cell>
          <cell r="I275">
            <v>5.4</v>
          </cell>
          <cell r="J275">
            <v>5.33</v>
          </cell>
          <cell r="K275">
            <v>5.3</v>
          </cell>
          <cell r="L275">
            <v>5.22</v>
          </cell>
          <cell r="M275">
            <v>5.13</v>
          </cell>
          <cell r="N275">
            <v>4.9400000000000004</v>
          </cell>
          <cell r="O275">
            <v>4.74</v>
          </cell>
          <cell r="P275">
            <v>4.63</v>
          </cell>
          <cell r="Q275">
            <v>4.5</v>
          </cell>
        </row>
        <row r="276">
          <cell r="A276" t="str">
            <v>11/30/66</v>
          </cell>
          <cell r="C276">
            <v>4.32</v>
          </cell>
          <cell r="D276">
            <v>5.34</v>
          </cell>
          <cell r="E276">
            <v>5.45</v>
          </cell>
          <cell r="F276">
            <v>5.49</v>
          </cell>
          <cell r="G276">
            <v>5.51</v>
          </cell>
          <cell r="H276">
            <v>5.5</v>
          </cell>
          <cell r="I276">
            <v>5.49</v>
          </cell>
          <cell r="J276">
            <v>5.37</v>
          </cell>
          <cell r="K276">
            <v>5.3</v>
          </cell>
          <cell r="L276">
            <v>5.28</v>
          </cell>
          <cell r="M276">
            <v>5.25</v>
          </cell>
          <cell r="N276">
            <v>5.09</v>
          </cell>
          <cell r="O276">
            <v>4.9000000000000004</v>
          </cell>
          <cell r="P276">
            <v>4.76</v>
          </cell>
          <cell r="Q276">
            <v>4.5999999999999996</v>
          </cell>
        </row>
        <row r="277">
          <cell r="A277" t="str">
            <v>12/30/66</v>
          </cell>
          <cell r="C277">
            <v>4.71</v>
          </cell>
          <cell r="D277">
            <v>4.99</v>
          </cell>
          <cell r="E277">
            <v>5.13</v>
          </cell>
          <cell r="F277">
            <v>5.07</v>
          </cell>
          <cell r="G277">
            <v>5.04</v>
          </cell>
          <cell r="H277">
            <v>4.88</v>
          </cell>
          <cell r="I277">
            <v>4.79</v>
          </cell>
          <cell r="J277">
            <v>4.79</v>
          </cell>
          <cell r="K277">
            <v>4.78</v>
          </cell>
          <cell r="L277">
            <v>4.74</v>
          </cell>
          <cell r="M277">
            <v>4.7</v>
          </cell>
          <cell r="N277">
            <v>4.66</v>
          </cell>
          <cell r="O277">
            <v>4.62</v>
          </cell>
          <cell r="P277">
            <v>4.55</v>
          </cell>
          <cell r="Q277">
            <v>4.45</v>
          </cell>
        </row>
        <row r="278">
          <cell r="A278" t="str">
            <v xml:space="preserve"> 1/31/67</v>
          </cell>
          <cell r="C278">
            <v>4.57</v>
          </cell>
          <cell r="D278">
            <v>4.6399999999999997</v>
          </cell>
          <cell r="E278">
            <v>4.66</v>
          </cell>
          <cell r="F278">
            <v>4.6500000000000004</v>
          </cell>
          <cell r="G278">
            <v>4.6399999999999997</v>
          </cell>
          <cell r="H278">
            <v>4.51</v>
          </cell>
          <cell r="I278">
            <v>4.45</v>
          </cell>
          <cell r="J278">
            <v>4.53</v>
          </cell>
          <cell r="K278">
            <v>4.5599999999999996</v>
          </cell>
          <cell r="L278">
            <v>4.5599999999999996</v>
          </cell>
          <cell r="M278">
            <v>4.55</v>
          </cell>
          <cell r="N278">
            <v>4.51</v>
          </cell>
          <cell r="O278">
            <v>4.46</v>
          </cell>
          <cell r="P278">
            <v>4.41</v>
          </cell>
          <cell r="Q278">
            <v>4.3600000000000003</v>
          </cell>
        </row>
        <row r="279">
          <cell r="A279" t="str">
            <v xml:space="preserve"> 2/28/67</v>
          </cell>
          <cell r="C279">
            <v>4.42</v>
          </cell>
          <cell r="D279">
            <v>4.62</v>
          </cell>
          <cell r="E279">
            <v>4.68</v>
          </cell>
          <cell r="F279">
            <v>4.6900000000000004</v>
          </cell>
          <cell r="G279">
            <v>4.6900000000000004</v>
          </cell>
          <cell r="H279">
            <v>4.68</v>
          </cell>
          <cell r="I279">
            <v>4.67</v>
          </cell>
          <cell r="J279">
            <v>4.7</v>
          </cell>
          <cell r="K279">
            <v>4.71</v>
          </cell>
          <cell r="L279">
            <v>4.7300000000000004</v>
          </cell>
          <cell r="M279">
            <v>4.75</v>
          </cell>
          <cell r="N279">
            <v>4.74</v>
          </cell>
          <cell r="O279">
            <v>4.7300000000000004</v>
          </cell>
          <cell r="P279">
            <v>4.63</v>
          </cell>
          <cell r="Q279">
            <v>4.5</v>
          </cell>
        </row>
        <row r="280">
          <cell r="A280" t="str">
            <v xml:space="preserve"> 3/31/67</v>
          </cell>
          <cell r="C280">
            <v>4.0599999999999996</v>
          </cell>
          <cell r="D280">
            <v>4.1900000000000004</v>
          </cell>
          <cell r="E280">
            <v>4.2</v>
          </cell>
          <cell r="F280">
            <v>4.16</v>
          </cell>
          <cell r="G280">
            <v>4.1399999999999997</v>
          </cell>
          <cell r="H280">
            <v>4.08</v>
          </cell>
          <cell r="I280">
            <v>4.05</v>
          </cell>
          <cell r="J280">
            <v>4.21</v>
          </cell>
          <cell r="K280">
            <v>4.3</v>
          </cell>
          <cell r="L280">
            <v>4.37</v>
          </cell>
          <cell r="M280">
            <v>4.46</v>
          </cell>
          <cell r="N280">
            <v>4.54</v>
          </cell>
          <cell r="O280">
            <v>4.5999999999999996</v>
          </cell>
          <cell r="P280">
            <v>4.59</v>
          </cell>
          <cell r="Q280">
            <v>4.57</v>
          </cell>
        </row>
        <row r="281">
          <cell r="A281" t="str">
            <v xml:space="preserve"> 4/28/67</v>
          </cell>
          <cell r="C281">
            <v>3.43</v>
          </cell>
          <cell r="D281">
            <v>3.79</v>
          </cell>
          <cell r="E281">
            <v>3.92</v>
          </cell>
          <cell r="F281">
            <v>4.01</v>
          </cell>
          <cell r="G281">
            <v>4.0599999999999996</v>
          </cell>
          <cell r="H281">
            <v>4.16</v>
          </cell>
          <cell r="I281">
            <v>4.21</v>
          </cell>
          <cell r="J281">
            <v>4.4800000000000004</v>
          </cell>
          <cell r="K281">
            <v>4.6100000000000003</v>
          </cell>
          <cell r="L281">
            <v>4.68</v>
          </cell>
          <cell r="M281">
            <v>4.75</v>
          </cell>
          <cell r="N281">
            <v>4.82</v>
          </cell>
          <cell r="O281">
            <v>4.8899999999999997</v>
          </cell>
          <cell r="P281">
            <v>4.7699999999999996</v>
          </cell>
          <cell r="Q281">
            <v>4.58</v>
          </cell>
        </row>
        <row r="282">
          <cell r="A282" t="str">
            <v xml:space="preserve"> 5/31/67</v>
          </cell>
          <cell r="C282">
            <v>3.33</v>
          </cell>
          <cell r="D282">
            <v>3.47</v>
          </cell>
          <cell r="E282">
            <v>3.84</v>
          </cell>
          <cell r="F282">
            <v>3.98</v>
          </cell>
          <cell r="G282">
            <v>4.05</v>
          </cell>
          <cell r="H282">
            <v>4.26</v>
          </cell>
          <cell r="I282">
            <v>4.37</v>
          </cell>
          <cell r="J282">
            <v>4.51</v>
          </cell>
          <cell r="K282">
            <v>4.58</v>
          </cell>
          <cell r="L282">
            <v>4.67</v>
          </cell>
          <cell r="M282">
            <v>4.76</v>
          </cell>
          <cell r="N282">
            <v>4.8600000000000003</v>
          </cell>
          <cell r="O282">
            <v>4.96</v>
          </cell>
          <cell r="P282">
            <v>4.83</v>
          </cell>
          <cell r="Q282">
            <v>4.6399999999999997</v>
          </cell>
        </row>
        <row r="283">
          <cell r="A283" t="str">
            <v xml:space="preserve"> 6/30/67</v>
          </cell>
          <cell r="C283">
            <v>3.69</v>
          </cell>
          <cell r="D283">
            <v>3.94</v>
          </cell>
          <cell r="E283">
            <v>4.4800000000000004</v>
          </cell>
          <cell r="F283">
            <v>4.87</v>
          </cell>
          <cell r="G283">
            <v>5.0599999999999996</v>
          </cell>
          <cell r="H283">
            <v>4.99</v>
          </cell>
          <cell r="I283">
            <v>4.9400000000000004</v>
          </cell>
          <cell r="J283">
            <v>5.15</v>
          </cell>
          <cell r="K283">
            <v>5.25</v>
          </cell>
          <cell r="L283">
            <v>5.3</v>
          </cell>
          <cell r="M283">
            <v>5.36</v>
          </cell>
          <cell r="N283">
            <v>5.28</v>
          </cell>
          <cell r="O283">
            <v>5.14</v>
          </cell>
          <cell r="P283">
            <v>5</v>
          </cell>
          <cell r="Q283">
            <v>4.82</v>
          </cell>
        </row>
        <row r="284">
          <cell r="A284" t="str">
            <v xml:space="preserve"> 7/31/67</v>
          </cell>
          <cell r="C284">
            <v>3.74</v>
          </cell>
          <cell r="D284">
            <v>4.22</v>
          </cell>
          <cell r="E284">
            <v>4.6900000000000004</v>
          </cell>
          <cell r="F284">
            <v>4.9800000000000004</v>
          </cell>
          <cell r="G284">
            <v>5.14</v>
          </cell>
          <cell r="H284">
            <v>4.96</v>
          </cell>
          <cell r="I284">
            <v>4.88</v>
          </cell>
          <cell r="J284">
            <v>4.9800000000000004</v>
          </cell>
          <cell r="K284">
            <v>5.03</v>
          </cell>
          <cell r="L284">
            <v>5.1100000000000003</v>
          </cell>
          <cell r="M284">
            <v>5.2</v>
          </cell>
          <cell r="N284">
            <v>5.18</v>
          </cell>
          <cell r="O284">
            <v>5.0999999999999996</v>
          </cell>
          <cell r="P284">
            <v>4.95</v>
          </cell>
          <cell r="Q284">
            <v>4.76</v>
          </cell>
        </row>
        <row r="285">
          <cell r="A285" t="str">
            <v xml:space="preserve"> 8/31/67</v>
          </cell>
          <cell r="C285">
            <v>3.93</v>
          </cell>
          <cell r="D285">
            <v>4.3600000000000003</v>
          </cell>
          <cell r="E285">
            <v>4.96</v>
          </cell>
          <cell r="F285">
            <v>5.15</v>
          </cell>
          <cell r="G285">
            <v>5.24</v>
          </cell>
          <cell r="H285">
            <v>5.22</v>
          </cell>
          <cell r="I285">
            <v>5.21</v>
          </cell>
          <cell r="J285">
            <v>5.28</v>
          </cell>
          <cell r="K285">
            <v>5.31</v>
          </cell>
          <cell r="L285">
            <v>5.33</v>
          </cell>
          <cell r="M285">
            <v>5.35</v>
          </cell>
          <cell r="N285">
            <v>5.26</v>
          </cell>
          <cell r="O285">
            <v>5.12</v>
          </cell>
          <cell r="P285">
            <v>5.0199999999999996</v>
          </cell>
          <cell r="Q285">
            <v>4.88</v>
          </cell>
        </row>
        <row r="286">
          <cell r="A286" t="str">
            <v xml:space="preserve"> 9/29/67</v>
          </cell>
          <cell r="C286">
            <v>4.29</v>
          </cell>
          <cell r="D286">
            <v>4.49</v>
          </cell>
          <cell r="E286">
            <v>5.24</v>
          </cell>
          <cell r="F286">
            <v>5.27</v>
          </cell>
          <cell r="G286">
            <v>5.28</v>
          </cell>
          <cell r="H286">
            <v>5.21</v>
          </cell>
          <cell r="I286">
            <v>5.18</v>
          </cell>
          <cell r="J286">
            <v>5.31</v>
          </cell>
          <cell r="K286">
            <v>5.37</v>
          </cell>
          <cell r="L286">
            <v>5.39</v>
          </cell>
          <cell r="M286">
            <v>5.42</v>
          </cell>
          <cell r="N286">
            <v>5.33</v>
          </cell>
          <cell r="O286">
            <v>5.22</v>
          </cell>
          <cell r="P286">
            <v>5.07</v>
          </cell>
          <cell r="Q286">
            <v>4.87</v>
          </cell>
        </row>
        <row r="287">
          <cell r="A287" t="str">
            <v>10/31/67</v>
          </cell>
          <cell r="C287">
            <v>4.21</v>
          </cell>
          <cell r="D287">
            <v>4.5999999999999996</v>
          </cell>
          <cell r="E287">
            <v>5.24</v>
          </cell>
          <cell r="F287">
            <v>5.42</v>
          </cell>
          <cell r="G287">
            <v>5.51</v>
          </cell>
          <cell r="H287">
            <v>5.52</v>
          </cell>
          <cell r="I287">
            <v>5.52</v>
          </cell>
          <cell r="J287">
            <v>5.61</v>
          </cell>
          <cell r="K287">
            <v>5.65</v>
          </cell>
          <cell r="L287">
            <v>5.72</v>
          </cell>
          <cell r="M287">
            <v>5.8</v>
          </cell>
          <cell r="N287">
            <v>5.68</v>
          </cell>
          <cell r="O287">
            <v>5.49</v>
          </cell>
          <cell r="P287">
            <v>5.43</v>
          </cell>
          <cell r="Q287">
            <v>5.39</v>
          </cell>
        </row>
        <row r="288">
          <cell r="A288" t="str">
            <v>11/30/67</v>
          </cell>
          <cell r="C288">
            <v>3.99</v>
          </cell>
          <cell r="D288">
            <v>4.92</v>
          </cell>
          <cell r="E288">
            <v>5.67</v>
          </cell>
          <cell r="F288">
            <v>5.73</v>
          </cell>
          <cell r="G288">
            <v>5.76</v>
          </cell>
          <cell r="H288">
            <v>5.65</v>
          </cell>
          <cell r="I288">
            <v>5.59</v>
          </cell>
          <cell r="J288">
            <v>5.67</v>
          </cell>
          <cell r="K288">
            <v>5.71</v>
          </cell>
          <cell r="L288">
            <v>5.79</v>
          </cell>
          <cell r="M288">
            <v>5.89</v>
          </cell>
          <cell r="N288">
            <v>5.81</v>
          </cell>
          <cell r="O288">
            <v>5.67</v>
          </cell>
          <cell r="P288">
            <v>5.65</v>
          </cell>
          <cell r="Q288">
            <v>5.65</v>
          </cell>
        </row>
        <row r="289">
          <cell r="A289" t="str">
            <v>12/29/67</v>
          </cell>
          <cell r="C289">
            <v>4.3</v>
          </cell>
          <cell r="D289">
            <v>5.15</v>
          </cell>
          <cell r="E289">
            <v>5.75</v>
          </cell>
          <cell r="F289">
            <v>5.81</v>
          </cell>
          <cell r="G289">
            <v>5.84</v>
          </cell>
          <cell r="H289">
            <v>5.77</v>
          </cell>
          <cell r="I289">
            <v>5.74</v>
          </cell>
          <cell r="J289">
            <v>5.79</v>
          </cell>
          <cell r="K289">
            <v>5.81</v>
          </cell>
          <cell r="L289">
            <v>5.78</v>
          </cell>
          <cell r="M289">
            <v>5.75</v>
          </cell>
          <cell r="N289">
            <v>5.71</v>
          </cell>
          <cell r="O289">
            <v>5.67</v>
          </cell>
          <cell r="P289">
            <v>5.58</v>
          </cell>
          <cell r="Q289">
            <v>5.5</v>
          </cell>
        </row>
        <row r="290">
          <cell r="A290" t="str">
            <v xml:space="preserve"> 1/31/68</v>
          </cell>
          <cell r="C290">
            <v>4.84</v>
          </cell>
          <cell r="D290">
            <v>4.9400000000000004</v>
          </cell>
          <cell r="E290">
            <v>5.18</v>
          </cell>
          <cell r="F290">
            <v>5.29</v>
          </cell>
          <cell r="G290">
            <v>5.35</v>
          </cell>
          <cell r="H290">
            <v>5.35</v>
          </cell>
          <cell r="I290">
            <v>5.36</v>
          </cell>
          <cell r="J290">
            <v>5.46</v>
          </cell>
          <cell r="K290">
            <v>5.52</v>
          </cell>
          <cell r="L290">
            <v>5.54</v>
          </cell>
          <cell r="M290">
            <v>5.56</v>
          </cell>
          <cell r="N290">
            <v>5.56</v>
          </cell>
          <cell r="O290">
            <v>5.54</v>
          </cell>
          <cell r="P290">
            <v>5.39</v>
          </cell>
          <cell r="Q290">
            <v>5.25</v>
          </cell>
        </row>
        <row r="291">
          <cell r="A291" t="str">
            <v xml:space="preserve"> 2/29/68</v>
          </cell>
          <cell r="C291">
            <v>4.74</v>
          </cell>
          <cell r="D291">
            <v>5.14</v>
          </cell>
          <cell r="E291">
            <v>5.37</v>
          </cell>
          <cell r="F291">
            <v>5.38</v>
          </cell>
          <cell r="G291">
            <v>5.39</v>
          </cell>
          <cell r="H291">
            <v>5.41</v>
          </cell>
          <cell r="I291">
            <v>5.43</v>
          </cell>
          <cell r="J291">
            <v>5.52</v>
          </cell>
          <cell r="K291">
            <v>5.57</v>
          </cell>
          <cell r="L291">
            <v>5.6</v>
          </cell>
          <cell r="M291">
            <v>5.64</v>
          </cell>
          <cell r="N291">
            <v>5.56</v>
          </cell>
          <cell r="O291">
            <v>5.45</v>
          </cell>
          <cell r="P291">
            <v>5.39</v>
          </cell>
          <cell r="Q291">
            <v>5.36</v>
          </cell>
        </row>
        <row r="292">
          <cell r="A292" t="str">
            <v xml:space="preserve"> 3/29/68</v>
          </cell>
          <cell r="C292">
            <v>4.95</v>
          </cell>
          <cell r="D292">
            <v>5.31</v>
          </cell>
          <cell r="E292">
            <v>5.43</v>
          </cell>
          <cell r="F292">
            <v>5.5</v>
          </cell>
          <cell r="G292">
            <v>5.54</v>
          </cell>
          <cell r="H292">
            <v>5.58</v>
          </cell>
          <cell r="I292">
            <v>5.59</v>
          </cell>
          <cell r="J292">
            <v>5.7</v>
          </cell>
          <cell r="K292">
            <v>5.76</v>
          </cell>
          <cell r="L292">
            <v>5.77</v>
          </cell>
          <cell r="M292">
            <v>5.78</v>
          </cell>
          <cell r="N292">
            <v>5.78</v>
          </cell>
          <cell r="O292">
            <v>5.76</v>
          </cell>
          <cell r="P292">
            <v>5.64</v>
          </cell>
          <cell r="Q292">
            <v>5.53</v>
          </cell>
        </row>
        <row r="293">
          <cell r="A293" t="str">
            <v xml:space="preserve"> 4/30/68</v>
          </cell>
          <cell r="C293">
            <v>5.41</v>
          </cell>
          <cell r="D293">
            <v>5.68</v>
          </cell>
          <cell r="E293">
            <v>5.78</v>
          </cell>
          <cell r="F293">
            <v>5.81</v>
          </cell>
          <cell r="G293">
            <v>5.83</v>
          </cell>
          <cell r="H293">
            <v>5.79</v>
          </cell>
          <cell r="I293">
            <v>5.77</v>
          </cell>
          <cell r="J293">
            <v>5.85</v>
          </cell>
          <cell r="K293">
            <v>5.89</v>
          </cell>
          <cell r="L293">
            <v>5.88</v>
          </cell>
          <cell r="M293">
            <v>5.87</v>
          </cell>
          <cell r="N293">
            <v>5.76</v>
          </cell>
          <cell r="O293">
            <v>5.62</v>
          </cell>
          <cell r="P293">
            <v>5.49</v>
          </cell>
          <cell r="Q293">
            <v>5.38</v>
          </cell>
        </row>
        <row r="294">
          <cell r="A294" t="str">
            <v xml:space="preserve"> 5/31/68</v>
          </cell>
          <cell r="C294">
            <v>5.54</v>
          </cell>
          <cell r="D294">
            <v>5.92</v>
          </cell>
          <cell r="E294">
            <v>6.04</v>
          </cell>
          <cell r="F294">
            <v>6.08</v>
          </cell>
          <cell r="G294">
            <v>6.1</v>
          </cell>
          <cell r="H294">
            <v>5.96</v>
          </cell>
          <cell r="I294">
            <v>5.89</v>
          </cell>
          <cell r="J294">
            <v>5.83</v>
          </cell>
          <cell r="K294">
            <v>5.79</v>
          </cell>
          <cell r="L294">
            <v>5.86</v>
          </cell>
          <cell r="M294">
            <v>5.94</v>
          </cell>
          <cell r="N294">
            <v>5.92</v>
          </cell>
          <cell r="O294">
            <v>5.88</v>
          </cell>
          <cell r="P294">
            <v>5.37</v>
          </cell>
          <cell r="Q294">
            <v>4.8600000000000003</v>
          </cell>
        </row>
        <row r="295">
          <cell r="A295" t="str">
            <v xml:space="preserve"> 6/28/68</v>
          </cell>
          <cell r="C295">
            <v>5.41</v>
          </cell>
          <cell r="D295">
            <v>5.46</v>
          </cell>
          <cell r="E295">
            <v>5.71</v>
          </cell>
          <cell r="F295">
            <v>5.8</v>
          </cell>
          <cell r="G295">
            <v>5.84</v>
          </cell>
          <cell r="H295">
            <v>5.77</v>
          </cell>
          <cell r="I295">
            <v>5.73</v>
          </cell>
          <cell r="J295">
            <v>5.62</v>
          </cell>
          <cell r="K295">
            <v>5.56</v>
          </cell>
          <cell r="L295">
            <v>5.65</v>
          </cell>
          <cell r="M295">
            <v>5.75</v>
          </cell>
          <cell r="N295">
            <v>5.61</v>
          </cell>
          <cell r="O295">
            <v>5.37</v>
          </cell>
          <cell r="P295">
            <v>5.31</v>
          </cell>
          <cell r="Q295">
            <v>5.28</v>
          </cell>
        </row>
        <row r="296">
          <cell r="A296" t="str">
            <v xml:space="preserve"> 7/31/68</v>
          </cell>
          <cell r="C296">
            <v>5.22</v>
          </cell>
          <cell r="D296">
            <v>5.28</v>
          </cell>
          <cell r="E296">
            <v>5.43</v>
          </cell>
          <cell r="F296">
            <v>5.34</v>
          </cell>
          <cell r="G296">
            <v>5.29</v>
          </cell>
          <cell r="H296">
            <v>5.28</v>
          </cell>
          <cell r="I296">
            <v>5.28</v>
          </cell>
          <cell r="J296">
            <v>5.21</v>
          </cell>
          <cell r="K296">
            <v>5.18</v>
          </cell>
          <cell r="L296">
            <v>5.32</v>
          </cell>
          <cell r="M296">
            <v>5.48</v>
          </cell>
          <cell r="N296">
            <v>5.38</v>
          </cell>
          <cell r="O296">
            <v>5.18</v>
          </cell>
          <cell r="P296">
            <v>5.15</v>
          </cell>
          <cell r="Q296">
            <v>5.15</v>
          </cell>
        </row>
        <row r="297">
          <cell r="A297" t="str">
            <v xml:space="preserve"> 8/30/68</v>
          </cell>
          <cell r="C297">
            <v>5.0199999999999996</v>
          </cell>
          <cell r="D297">
            <v>5.24</v>
          </cell>
          <cell r="E297">
            <v>5.42</v>
          </cell>
          <cell r="F297">
            <v>5.34</v>
          </cell>
          <cell r="G297">
            <v>5.3</v>
          </cell>
          <cell r="H297">
            <v>5.25</v>
          </cell>
          <cell r="I297">
            <v>5.23</v>
          </cell>
          <cell r="J297">
            <v>5.21</v>
          </cell>
          <cell r="K297">
            <v>5.21</v>
          </cell>
          <cell r="L297">
            <v>5.36</v>
          </cell>
          <cell r="M297">
            <v>5.54</v>
          </cell>
          <cell r="N297">
            <v>5.44</v>
          </cell>
          <cell r="O297">
            <v>5.23</v>
          </cell>
          <cell r="P297">
            <v>5.19</v>
          </cell>
          <cell r="Q297">
            <v>5.17</v>
          </cell>
        </row>
        <row r="298">
          <cell r="A298" t="str">
            <v xml:space="preserve"> 9/30/68</v>
          </cell>
          <cell r="C298">
            <v>5.25</v>
          </cell>
          <cell r="D298">
            <v>5.3</v>
          </cell>
          <cell r="E298">
            <v>5.52</v>
          </cell>
          <cell r="F298">
            <v>5.37</v>
          </cell>
          <cell r="G298">
            <v>5.29</v>
          </cell>
          <cell r="H298">
            <v>5.31</v>
          </cell>
          <cell r="I298">
            <v>5.32</v>
          </cell>
          <cell r="J298">
            <v>5.24</v>
          </cell>
          <cell r="K298">
            <v>5.2</v>
          </cell>
          <cell r="L298">
            <v>5.38</v>
          </cell>
          <cell r="M298">
            <v>5.58</v>
          </cell>
          <cell r="N298">
            <v>5.52</v>
          </cell>
          <cell r="O298">
            <v>5.35</v>
          </cell>
          <cell r="P298">
            <v>5.3</v>
          </cell>
          <cell r="Q298">
            <v>5.27</v>
          </cell>
        </row>
        <row r="299">
          <cell r="A299" t="str">
            <v>10/31/68</v>
          </cell>
          <cell r="C299">
            <v>5.38</v>
          </cell>
          <cell r="D299">
            <v>5.63</v>
          </cell>
          <cell r="E299">
            <v>5.72</v>
          </cell>
          <cell r="F299">
            <v>5.61</v>
          </cell>
          <cell r="G299">
            <v>5.55</v>
          </cell>
          <cell r="H299">
            <v>5.51</v>
          </cell>
          <cell r="I299">
            <v>5.49</v>
          </cell>
          <cell r="J299">
            <v>5.34</v>
          </cell>
          <cell r="K299">
            <v>5.27</v>
          </cell>
          <cell r="L299">
            <v>5.49</v>
          </cell>
          <cell r="M299">
            <v>5.74</v>
          </cell>
          <cell r="N299">
            <v>5.67</v>
          </cell>
          <cell r="O299">
            <v>5.46</v>
          </cell>
          <cell r="P299">
            <v>5.42</v>
          </cell>
          <cell r="Q299">
            <v>5.41</v>
          </cell>
        </row>
        <row r="300">
          <cell r="A300" t="str">
            <v>11/29/68</v>
          </cell>
          <cell r="C300">
            <v>4.97</v>
          </cell>
          <cell r="D300">
            <v>5.64</v>
          </cell>
          <cell r="E300">
            <v>5.79</v>
          </cell>
          <cell r="F300">
            <v>5.74</v>
          </cell>
          <cell r="G300">
            <v>5.71</v>
          </cell>
          <cell r="H300">
            <v>5.61</v>
          </cell>
          <cell r="I300">
            <v>5.55</v>
          </cell>
          <cell r="J300">
            <v>5.45</v>
          </cell>
          <cell r="K300">
            <v>5.4</v>
          </cell>
          <cell r="L300">
            <v>5.61</v>
          </cell>
          <cell r="M300">
            <v>5.86</v>
          </cell>
          <cell r="N300">
            <v>5.83</v>
          </cell>
          <cell r="O300">
            <v>5.69</v>
          </cell>
          <cell r="P300">
            <v>5.64</v>
          </cell>
          <cell r="Q300">
            <v>5.62</v>
          </cell>
        </row>
        <row r="301">
          <cell r="A301" t="str">
            <v>12/31/68</v>
          </cell>
          <cell r="C301">
            <v>6.1</v>
          </cell>
          <cell r="D301">
            <v>6.34</v>
          </cell>
          <cell r="E301">
            <v>6.63</v>
          </cell>
          <cell r="F301">
            <v>6.49</v>
          </cell>
          <cell r="G301">
            <v>6.42</v>
          </cell>
          <cell r="H301">
            <v>6.43</v>
          </cell>
          <cell r="I301">
            <v>6.43</v>
          </cell>
          <cell r="J301">
            <v>6.14</v>
          </cell>
          <cell r="K301">
            <v>6</v>
          </cell>
          <cell r="L301">
            <v>6.17</v>
          </cell>
          <cell r="M301">
            <v>6.35</v>
          </cell>
          <cell r="N301">
            <v>6.21</v>
          </cell>
          <cell r="O301">
            <v>5.93</v>
          </cell>
          <cell r="P301">
            <v>5.95</v>
          </cell>
          <cell r="Q301">
            <v>5.99</v>
          </cell>
        </row>
        <row r="302">
          <cell r="A302" t="str">
            <v xml:space="preserve"> 1/31/69</v>
          </cell>
          <cell r="C302">
            <v>6.01</v>
          </cell>
          <cell r="D302">
            <v>6.37</v>
          </cell>
          <cell r="E302">
            <v>6.51</v>
          </cell>
          <cell r="F302">
            <v>6.43</v>
          </cell>
          <cell r="G302">
            <v>6.39</v>
          </cell>
          <cell r="H302">
            <v>6.3</v>
          </cell>
          <cell r="I302">
            <v>6.26</v>
          </cell>
          <cell r="J302">
            <v>6.02</v>
          </cell>
          <cell r="K302">
            <v>5.91</v>
          </cell>
          <cell r="L302">
            <v>6.14</v>
          </cell>
          <cell r="M302">
            <v>6.4</v>
          </cell>
          <cell r="N302">
            <v>6.29</v>
          </cell>
          <cell r="O302">
            <v>6.04</v>
          </cell>
          <cell r="P302">
            <v>6.13</v>
          </cell>
          <cell r="Q302">
            <v>6.22</v>
          </cell>
        </row>
        <row r="303">
          <cell r="A303" t="str">
            <v xml:space="preserve"> 2/28/69</v>
          </cell>
          <cell r="C303">
            <v>5.78</v>
          </cell>
          <cell r="D303">
            <v>6.38</v>
          </cell>
          <cell r="E303">
            <v>6.52</v>
          </cell>
          <cell r="F303">
            <v>6.52</v>
          </cell>
          <cell r="G303">
            <v>6.52</v>
          </cell>
          <cell r="H303">
            <v>6.54</v>
          </cell>
          <cell r="I303">
            <v>6.55</v>
          </cell>
          <cell r="J303">
            <v>6.47</v>
          </cell>
          <cell r="K303">
            <v>6.42</v>
          </cell>
          <cell r="L303">
            <v>6.42</v>
          </cell>
          <cell r="M303">
            <v>6.41</v>
          </cell>
          <cell r="N303">
            <v>6.31</v>
          </cell>
          <cell r="O303">
            <v>6.18</v>
          </cell>
          <cell r="P303">
            <v>6.15</v>
          </cell>
          <cell r="Q303">
            <v>6.14</v>
          </cell>
        </row>
        <row r="304">
          <cell r="A304" t="str">
            <v xml:space="preserve"> 3/28/69</v>
          </cell>
          <cell r="C304">
            <v>5.4</v>
          </cell>
          <cell r="D304">
            <v>6.2</v>
          </cell>
          <cell r="E304">
            <v>6.27</v>
          </cell>
          <cell r="F304">
            <v>6.37</v>
          </cell>
          <cell r="G304">
            <v>6.42</v>
          </cell>
          <cell r="H304">
            <v>6.25</v>
          </cell>
          <cell r="I304">
            <v>6.17</v>
          </cell>
          <cell r="J304">
            <v>6.24</v>
          </cell>
          <cell r="K304">
            <v>6.28</v>
          </cell>
          <cell r="L304">
            <v>6.35</v>
          </cell>
          <cell r="M304">
            <v>6.44</v>
          </cell>
          <cell r="N304">
            <v>6.45</v>
          </cell>
          <cell r="O304">
            <v>6.43</v>
          </cell>
          <cell r="P304">
            <v>6.26</v>
          </cell>
          <cell r="Q304">
            <v>6.12</v>
          </cell>
        </row>
        <row r="305">
          <cell r="A305" t="str">
            <v xml:space="preserve"> 4/30/69</v>
          </cell>
          <cell r="C305">
            <v>6.27</v>
          </cell>
          <cell r="D305">
            <v>6.09</v>
          </cell>
          <cell r="E305">
            <v>6.19</v>
          </cell>
          <cell r="F305">
            <v>6.2</v>
          </cell>
          <cell r="G305">
            <v>6.2</v>
          </cell>
          <cell r="H305">
            <v>6.23</v>
          </cell>
          <cell r="I305">
            <v>6.24</v>
          </cell>
          <cell r="J305">
            <v>6.16</v>
          </cell>
          <cell r="K305">
            <v>6.13</v>
          </cell>
          <cell r="L305">
            <v>6.27</v>
          </cell>
          <cell r="M305">
            <v>6.43</v>
          </cell>
          <cell r="N305">
            <v>6.25</v>
          </cell>
          <cell r="O305">
            <v>5.96</v>
          </cell>
          <cell r="P305">
            <v>5.9</v>
          </cell>
          <cell r="Q305">
            <v>5.88</v>
          </cell>
        </row>
        <row r="306">
          <cell r="A306" t="str">
            <v xml:space="preserve"> 5/29/69</v>
          </cell>
          <cell r="C306">
            <v>5.87</v>
          </cell>
          <cell r="D306">
            <v>6.21</v>
          </cell>
          <cell r="E306">
            <v>6.47</v>
          </cell>
          <cell r="F306">
            <v>6.59</v>
          </cell>
          <cell r="G306">
            <v>6.65</v>
          </cell>
          <cell r="H306">
            <v>6.7</v>
          </cell>
          <cell r="I306">
            <v>6.72</v>
          </cell>
          <cell r="J306">
            <v>6.67</v>
          </cell>
          <cell r="K306">
            <v>6.64</v>
          </cell>
          <cell r="L306">
            <v>6.65</v>
          </cell>
          <cell r="M306">
            <v>6.66</v>
          </cell>
          <cell r="N306">
            <v>6.58</v>
          </cell>
          <cell r="O306">
            <v>6.46</v>
          </cell>
          <cell r="P306">
            <v>6.36</v>
          </cell>
          <cell r="Q306">
            <v>6.29</v>
          </cell>
        </row>
        <row r="307">
          <cell r="A307" t="str">
            <v xml:space="preserve"> 6/30/69</v>
          </cell>
          <cell r="C307">
            <v>6.19</v>
          </cell>
          <cell r="D307">
            <v>6.69</v>
          </cell>
          <cell r="E307">
            <v>7.14</v>
          </cell>
          <cell r="F307">
            <v>7.6</v>
          </cell>
          <cell r="G307">
            <v>7.83</v>
          </cell>
          <cell r="H307">
            <v>7.53</v>
          </cell>
          <cell r="I307">
            <v>7.38</v>
          </cell>
          <cell r="J307">
            <v>7.22</v>
          </cell>
          <cell r="K307">
            <v>7.14</v>
          </cell>
          <cell r="L307">
            <v>6.98</v>
          </cell>
          <cell r="M307">
            <v>6.79</v>
          </cell>
          <cell r="N307">
            <v>6.54</v>
          </cell>
          <cell r="O307">
            <v>6.3</v>
          </cell>
          <cell r="P307">
            <v>6.19</v>
          </cell>
          <cell r="Q307">
            <v>6.13</v>
          </cell>
        </row>
        <row r="308">
          <cell r="A308" t="str">
            <v xml:space="preserve"> 7/31/69</v>
          </cell>
          <cell r="C308">
            <v>6.61</v>
          </cell>
          <cell r="D308">
            <v>7.38</v>
          </cell>
          <cell r="E308">
            <v>7.42</v>
          </cell>
          <cell r="F308">
            <v>7.63</v>
          </cell>
          <cell r="G308">
            <v>7.74</v>
          </cell>
          <cell r="H308">
            <v>7.73</v>
          </cell>
          <cell r="I308">
            <v>7.72</v>
          </cell>
          <cell r="J308">
            <v>7.37</v>
          </cell>
          <cell r="K308">
            <v>7.19</v>
          </cell>
          <cell r="L308">
            <v>6.97</v>
          </cell>
          <cell r="M308">
            <v>6.71</v>
          </cell>
          <cell r="N308">
            <v>6.48</v>
          </cell>
          <cell r="O308">
            <v>6.29</v>
          </cell>
          <cell r="P308">
            <v>6.17</v>
          </cell>
          <cell r="Q308">
            <v>6.1</v>
          </cell>
        </row>
        <row r="309">
          <cell r="A309" t="str">
            <v xml:space="preserve"> 8/29/69</v>
          </cell>
          <cell r="C309">
            <v>7.22</v>
          </cell>
          <cell r="D309">
            <v>7.08</v>
          </cell>
          <cell r="E309">
            <v>7.48</v>
          </cell>
          <cell r="F309">
            <v>7.67</v>
          </cell>
          <cell r="G309">
            <v>7.77</v>
          </cell>
          <cell r="H309">
            <v>7.72</v>
          </cell>
          <cell r="I309">
            <v>7.69</v>
          </cell>
          <cell r="J309">
            <v>7.52</v>
          </cell>
          <cell r="K309">
            <v>7.43</v>
          </cell>
          <cell r="L309">
            <v>7.2</v>
          </cell>
          <cell r="M309">
            <v>6.92</v>
          </cell>
          <cell r="N309">
            <v>6.61</v>
          </cell>
          <cell r="O309">
            <v>6.3</v>
          </cell>
          <cell r="P309">
            <v>6.2</v>
          </cell>
          <cell r="Q309">
            <v>6.15</v>
          </cell>
        </row>
        <row r="310">
          <cell r="A310" t="str">
            <v xml:space="preserve"> 9/30/69</v>
          </cell>
          <cell r="C310">
            <v>7.23</v>
          </cell>
          <cell r="D310">
            <v>7.23</v>
          </cell>
          <cell r="E310">
            <v>7.66</v>
          </cell>
          <cell r="F310">
            <v>7.89</v>
          </cell>
          <cell r="G310">
            <v>8.01</v>
          </cell>
          <cell r="H310">
            <v>8.2100000000000009</v>
          </cell>
          <cell r="I310">
            <v>8.31</v>
          </cell>
          <cell r="J310">
            <v>8.2899999999999991</v>
          </cell>
          <cell r="K310">
            <v>8.2799999999999994</v>
          </cell>
          <cell r="L310">
            <v>8.0500000000000007</v>
          </cell>
          <cell r="M310">
            <v>7.78</v>
          </cell>
          <cell r="N310">
            <v>7.35</v>
          </cell>
          <cell r="O310">
            <v>6.88</v>
          </cell>
          <cell r="P310">
            <v>6.59</v>
          </cell>
          <cell r="Q310">
            <v>6.42</v>
          </cell>
        </row>
        <row r="311">
          <cell r="A311" t="str">
            <v>10/31/69</v>
          </cell>
          <cell r="C311">
            <v>6.68</v>
          </cell>
          <cell r="D311">
            <v>7.16</v>
          </cell>
          <cell r="E311">
            <v>7.62</v>
          </cell>
          <cell r="F311">
            <v>7.62</v>
          </cell>
          <cell r="G311">
            <v>7.62</v>
          </cell>
          <cell r="H311">
            <v>7.59</v>
          </cell>
          <cell r="I311">
            <v>7.58</v>
          </cell>
          <cell r="J311">
            <v>7.64</v>
          </cell>
          <cell r="K311">
            <v>7.67</v>
          </cell>
          <cell r="L311">
            <v>7.34</v>
          </cell>
          <cell r="M311">
            <v>6.97</v>
          </cell>
          <cell r="N311">
            <v>6.82</v>
          </cell>
          <cell r="O311">
            <v>6.77</v>
          </cell>
          <cell r="P311">
            <v>6.47</v>
          </cell>
          <cell r="Q311">
            <v>6.25</v>
          </cell>
        </row>
        <row r="312">
          <cell r="A312" t="str">
            <v>11/28/69</v>
          </cell>
          <cell r="C312">
            <v>6.79</v>
          </cell>
          <cell r="D312">
            <v>7.74</v>
          </cell>
          <cell r="E312">
            <v>8.26</v>
          </cell>
          <cell r="F312">
            <v>8.16</v>
          </cell>
          <cell r="G312">
            <v>8.1</v>
          </cell>
          <cell r="H312">
            <v>8.02</v>
          </cell>
          <cell r="I312">
            <v>7.98</v>
          </cell>
          <cell r="J312">
            <v>7.91</v>
          </cell>
          <cell r="K312">
            <v>7.88</v>
          </cell>
          <cell r="L312">
            <v>7.58</v>
          </cell>
          <cell r="M312">
            <v>7.24</v>
          </cell>
          <cell r="N312">
            <v>7.22</v>
          </cell>
          <cell r="O312">
            <v>7.32</v>
          </cell>
          <cell r="P312">
            <v>6.79</v>
          </cell>
          <cell r="Q312">
            <v>6.39</v>
          </cell>
        </row>
        <row r="313">
          <cell r="A313" t="str">
            <v>12/31/69</v>
          </cell>
          <cell r="C313">
            <v>6.91</v>
          </cell>
          <cell r="D313">
            <v>8.2100000000000009</v>
          </cell>
          <cell r="E313">
            <v>8.5</v>
          </cell>
          <cell r="F313">
            <v>8.2899999999999991</v>
          </cell>
          <cell r="G313">
            <v>8.18</v>
          </cell>
          <cell r="H313">
            <v>8.49</v>
          </cell>
          <cell r="I313">
            <v>8.64</v>
          </cell>
          <cell r="J313">
            <v>8.51</v>
          </cell>
          <cell r="K313">
            <v>8.4499999999999993</v>
          </cell>
          <cell r="L313">
            <v>8.14</v>
          </cell>
          <cell r="M313">
            <v>7.79</v>
          </cell>
          <cell r="N313">
            <v>7.67</v>
          </cell>
          <cell r="O313">
            <v>7.65</v>
          </cell>
          <cell r="P313">
            <v>6.91</v>
          </cell>
          <cell r="Q313">
            <v>6.39</v>
          </cell>
        </row>
        <row r="314">
          <cell r="A314" t="str">
            <v xml:space="preserve"> 1/30/70</v>
          </cell>
          <cell r="C314">
            <v>7.81</v>
          </cell>
          <cell r="D314">
            <v>8.1300000000000008</v>
          </cell>
          <cell r="E314">
            <v>8.25</v>
          </cell>
          <cell r="F314">
            <v>8.19</v>
          </cell>
          <cell r="G314">
            <v>8.17</v>
          </cell>
          <cell r="H314">
            <v>8.42</v>
          </cell>
          <cell r="I314">
            <v>8.5500000000000007</v>
          </cell>
          <cell r="J314">
            <v>8.5500000000000007</v>
          </cell>
          <cell r="K314">
            <v>8.5399999999999991</v>
          </cell>
          <cell r="L314">
            <v>8.2899999999999991</v>
          </cell>
          <cell r="M314">
            <v>8</v>
          </cell>
          <cell r="N314">
            <v>7.6</v>
          </cell>
          <cell r="O314">
            <v>7.19</v>
          </cell>
          <cell r="P314">
            <v>6.83</v>
          </cell>
          <cell r="Q314">
            <v>6.61</v>
          </cell>
        </row>
        <row r="315">
          <cell r="A315" t="str">
            <v xml:space="preserve"> 2/27/70</v>
          </cell>
          <cell r="C315">
            <v>6.54</v>
          </cell>
          <cell r="D315">
            <v>7.06</v>
          </cell>
          <cell r="E315">
            <v>7.13</v>
          </cell>
          <cell r="F315">
            <v>7.02</v>
          </cell>
          <cell r="G315">
            <v>6.96</v>
          </cell>
          <cell r="H315">
            <v>7.29</v>
          </cell>
          <cell r="I315">
            <v>7.46</v>
          </cell>
          <cell r="J315">
            <v>7.49</v>
          </cell>
          <cell r="K315">
            <v>7.51</v>
          </cell>
          <cell r="L315">
            <v>7.35</v>
          </cell>
          <cell r="M315">
            <v>7.16</v>
          </cell>
          <cell r="N315">
            <v>6.91</v>
          </cell>
          <cell r="O315">
            <v>6.65</v>
          </cell>
          <cell r="P315">
            <v>6.43</v>
          </cell>
          <cell r="Q315">
            <v>6.3</v>
          </cell>
        </row>
        <row r="316">
          <cell r="A316" t="str">
            <v xml:space="preserve"> 3/31/70</v>
          </cell>
          <cell r="C316">
            <v>6.65</v>
          </cell>
          <cell r="D316">
            <v>6.51</v>
          </cell>
          <cell r="E316">
            <v>6.66</v>
          </cell>
          <cell r="F316">
            <v>6.74</v>
          </cell>
          <cell r="G316">
            <v>6.78</v>
          </cell>
          <cell r="H316">
            <v>7.09</v>
          </cell>
          <cell r="I316">
            <v>7.24</v>
          </cell>
          <cell r="J316">
            <v>7.33</v>
          </cell>
          <cell r="K316">
            <v>7.37</v>
          </cell>
          <cell r="L316">
            <v>7.29</v>
          </cell>
          <cell r="M316">
            <v>7.2</v>
          </cell>
          <cell r="N316">
            <v>7.03</v>
          </cell>
          <cell r="O316">
            <v>6.84</v>
          </cell>
          <cell r="P316">
            <v>6.55</v>
          </cell>
          <cell r="Q316">
            <v>6.36</v>
          </cell>
        </row>
        <row r="317">
          <cell r="A317" t="str">
            <v xml:space="preserve"> 4/30/70</v>
          </cell>
          <cell r="C317">
            <v>6.62</v>
          </cell>
          <cell r="D317">
            <v>7.03</v>
          </cell>
          <cell r="E317">
            <v>7.45</v>
          </cell>
          <cell r="F317">
            <v>7.58</v>
          </cell>
          <cell r="G317">
            <v>7.65</v>
          </cell>
          <cell r="H317">
            <v>7.97</v>
          </cell>
          <cell r="I317">
            <v>8.14</v>
          </cell>
          <cell r="J317">
            <v>8.1199999999999992</v>
          </cell>
          <cell r="K317">
            <v>8.1199999999999992</v>
          </cell>
          <cell r="L317">
            <v>8.0500000000000007</v>
          </cell>
          <cell r="M317">
            <v>7.96</v>
          </cell>
          <cell r="N317">
            <v>7.78</v>
          </cell>
          <cell r="O317">
            <v>7.57</v>
          </cell>
          <cell r="P317">
            <v>6.92</v>
          </cell>
          <cell r="Q317">
            <v>6.5</v>
          </cell>
        </row>
        <row r="318">
          <cell r="A318" t="str">
            <v xml:space="preserve"> 5/29/70</v>
          </cell>
          <cell r="C318">
            <v>6.5</v>
          </cell>
          <cell r="D318">
            <v>7.2</v>
          </cell>
          <cell r="E318">
            <v>7.35</v>
          </cell>
          <cell r="F318">
            <v>7.5</v>
          </cell>
          <cell r="G318">
            <v>7.57</v>
          </cell>
          <cell r="H318">
            <v>8.0299999999999994</v>
          </cell>
          <cell r="I318">
            <v>8.26</v>
          </cell>
          <cell r="J318">
            <v>8.06</v>
          </cell>
          <cell r="K318">
            <v>7.95</v>
          </cell>
          <cell r="L318">
            <v>7.89</v>
          </cell>
          <cell r="M318">
            <v>7.81</v>
          </cell>
          <cell r="N318">
            <v>7.86</v>
          </cell>
          <cell r="O318">
            <v>7.96</v>
          </cell>
          <cell r="P318">
            <v>7.42</v>
          </cell>
          <cell r="Q318">
            <v>7.05</v>
          </cell>
        </row>
        <row r="319">
          <cell r="A319" t="str">
            <v xml:space="preserve"> 6/30/70</v>
          </cell>
          <cell r="C319">
            <v>6.05</v>
          </cell>
          <cell r="D319">
            <v>6.62</v>
          </cell>
          <cell r="E319">
            <v>6.87</v>
          </cell>
          <cell r="F319">
            <v>7.2</v>
          </cell>
          <cell r="G319">
            <v>7.37</v>
          </cell>
          <cell r="H319">
            <v>7.76</v>
          </cell>
          <cell r="I319">
            <v>7.96</v>
          </cell>
          <cell r="J319">
            <v>7.97</v>
          </cell>
          <cell r="K319">
            <v>7.97</v>
          </cell>
          <cell r="L319">
            <v>7.9</v>
          </cell>
          <cell r="M319">
            <v>7.82</v>
          </cell>
          <cell r="N319">
            <v>7.61</v>
          </cell>
          <cell r="O319">
            <v>7.37</v>
          </cell>
          <cell r="P319">
            <v>6.97</v>
          </cell>
          <cell r="Q319">
            <v>6.73</v>
          </cell>
        </row>
        <row r="320">
          <cell r="A320" t="str">
            <v xml:space="preserve"> 7/31/70</v>
          </cell>
          <cell r="C320">
            <v>6.23</v>
          </cell>
          <cell r="D320">
            <v>6.47</v>
          </cell>
          <cell r="E320">
            <v>6.69</v>
          </cell>
          <cell r="F320">
            <v>6.91</v>
          </cell>
          <cell r="G320">
            <v>7.02</v>
          </cell>
          <cell r="H320">
            <v>7.47</v>
          </cell>
          <cell r="I320">
            <v>7.69</v>
          </cell>
          <cell r="J320">
            <v>7.72</v>
          </cell>
          <cell r="K320">
            <v>7.74</v>
          </cell>
          <cell r="L320">
            <v>7.66</v>
          </cell>
          <cell r="M320">
            <v>7.56</v>
          </cell>
          <cell r="N320">
            <v>7.28</v>
          </cell>
          <cell r="O320">
            <v>6.94</v>
          </cell>
          <cell r="P320">
            <v>6.78</v>
          </cell>
          <cell r="Q320">
            <v>6.7</v>
          </cell>
        </row>
        <row r="321">
          <cell r="A321" t="str">
            <v xml:space="preserve"> 8/31/70</v>
          </cell>
          <cell r="C321">
            <v>6.21</v>
          </cell>
          <cell r="D321">
            <v>6.36</v>
          </cell>
          <cell r="E321">
            <v>6.71</v>
          </cell>
          <cell r="F321">
            <v>6.79</v>
          </cell>
          <cell r="G321">
            <v>6.83</v>
          </cell>
          <cell r="H321">
            <v>7.27</v>
          </cell>
          <cell r="I321">
            <v>7.49</v>
          </cell>
          <cell r="J321">
            <v>7.52</v>
          </cell>
          <cell r="K321">
            <v>7.54</v>
          </cell>
          <cell r="L321">
            <v>7.54</v>
          </cell>
          <cell r="M321">
            <v>7.54</v>
          </cell>
          <cell r="N321">
            <v>7.49</v>
          </cell>
          <cell r="O321">
            <v>7.41</v>
          </cell>
          <cell r="P321">
            <v>6.96</v>
          </cell>
          <cell r="Q321">
            <v>6.69</v>
          </cell>
        </row>
        <row r="322">
          <cell r="A322" t="str">
            <v xml:space="preserve"> 9/30/70</v>
          </cell>
          <cell r="C322">
            <v>5.62</v>
          </cell>
          <cell r="D322">
            <v>6.01</v>
          </cell>
          <cell r="E322">
            <v>6.68</v>
          </cell>
          <cell r="F322">
            <v>6.69</v>
          </cell>
          <cell r="G322">
            <v>6.7</v>
          </cell>
          <cell r="H322">
            <v>6.88</v>
          </cell>
          <cell r="I322">
            <v>6.97</v>
          </cell>
          <cell r="J322">
            <v>7.09</v>
          </cell>
          <cell r="K322">
            <v>7.15</v>
          </cell>
          <cell r="L322">
            <v>7.23</v>
          </cell>
          <cell r="M322">
            <v>7.32</v>
          </cell>
          <cell r="N322">
            <v>7.35</v>
          </cell>
          <cell r="O322">
            <v>7.36</v>
          </cell>
          <cell r="P322">
            <v>6.8</v>
          </cell>
          <cell r="Q322">
            <v>6.46</v>
          </cell>
        </row>
        <row r="323">
          <cell r="A323" t="str">
            <v>10/30/70</v>
          </cell>
          <cell r="C323">
            <v>5.38</v>
          </cell>
          <cell r="D323">
            <v>5.97</v>
          </cell>
          <cell r="E323">
            <v>6.31</v>
          </cell>
          <cell r="F323">
            <v>6.38</v>
          </cell>
          <cell r="G323">
            <v>6.42</v>
          </cell>
          <cell r="H323">
            <v>6.72</v>
          </cell>
          <cell r="I323">
            <v>6.87</v>
          </cell>
          <cell r="J323">
            <v>6.98</v>
          </cell>
          <cell r="K323">
            <v>7.03</v>
          </cell>
          <cell r="L323">
            <v>7.12</v>
          </cell>
          <cell r="M323">
            <v>7.23</v>
          </cell>
          <cell r="N323">
            <v>7.4</v>
          </cell>
          <cell r="O323">
            <v>7.58</v>
          </cell>
          <cell r="P323">
            <v>6.95</v>
          </cell>
          <cell r="Q323">
            <v>6.56</v>
          </cell>
        </row>
        <row r="324">
          <cell r="A324" t="str">
            <v>11/30/70</v>
          </cell>
          <cell r="C324">
            <v>4.57</v>
          </cell>
          <cell r="D324">
            <v>5.08</v>
          </cell>
          <cell r="E324">
            <v>5.13</v>
          </cell>
          <cell r="F324">
            <v>5.1100000000000003</v>
          </cell>
          <cell r="G324">
            <v>5.0999999999999996</v>
          </cell>
          <cell r="H324">
            <v>5.38</v>
          </cell>
          <cell r="I324">
            <v>5.51</v>
          </cell>
          <cell r="J324">
            <v>5.78</v>
          </cell>
          <cell r="K324">
            <v>5.92</v>
          </cell>
          <cell r="L324">
            <v>6.17</v>
          </cell>
          <cell r="M324">
            <v>6.46</v>
          </cell>
          <cell r="N324">
            <v>6.6</v>
          </cell>
          <cell r="O324">
            <v>6.67</v>
          </cell>
          <cell r="P324">
            <v>6.4</v>
          </cell>
          <cell r="Q324">
            <v>6.28</v>
          </cell>
        </row>
        <row r="325">
          <cell r="A325" t="str">
            <v>12/31/70</v>
          </cell>
          <cell r="C325">
            <v>4.45</v>
          </cell>
          <cell r="D325">
            <v>4.99</v>
          </cell>
          <cell r="E325">
            <v>4.9400000000000004</v>
          </cell>
          <cell r="F325">
            <v>4.99</v>
          </cell>
          <cell r="G325">
            <v>5.01</v>
          </cell>
          <cell r="H325">
            <v>5.49</v>
          </cell>
          <cell r="I325">
            <v>5.73</v>
          </cell>
          <cell r="J325">
            <v>5.85</v>
          </cell>
          <cell r="K325">
            <v>5.91</v>
          </cell>
          <cell r="L325">
            <v>6.11</v>
          </cell>
          <cell r="M325">
            <v>6.33</v>
          </cell>
          <cell r="N325">
            <v>6.56</v>
          </cell>
          <cell r="O325">
            <v>6.78</v>
          </cell>
          <cell r="P325">
            <v>6.48</v>
          </cell>
          <cell r="Q325">
            <v>6.35</v>
          </cell>
        </row>
        <row r="326">
          <cell r="A326" t="str">
            <v xml:space="preserve"> 1/29/71</v>
          </cell>
          <cell r="C326">
            <v>4.13</v>
          </cell>
          <cell r="D326">
            <v>4.21</v>
          </cell>
          <cell r="E326">
            <v>4.28</v>
          </cell>
          <cell r="F326">
            <v>4.22</v>
          </cell>
          <cell r="G326">
            <v>4.1900000000000004</v>
          </cell>
          <cell r="H326">
            <v>4.59</v>
          </cell>
          <cell r="I326">
            <v>4.79</v>
          </cell>
          <cell r="J326">
            <v>5.38</v>
          </cell>
          <cell r="K326">
            <v>5.67</v>
          </cell>
          <cell r="L326">
            <v>5.92</v>
          </cell>
          <cell r="M326">
            <v>6.2</v>
          </cell>
          <cell r="N326">
            <v>6.24</v>
          </cell>
          <cell r="O326">
            <v>6.18</v>
          </cell>
          <cell r="P326">
            <v>6.1</v>
          </cell>
          <cell r="Q326">
            <v>6.08</v>
          </cell>
        </row>
        <row r="327">
          <cell r="A327" t="str">
            <v xml:space="preserve"> 2/26/71</v>
          </cell>
          <cell r="C327">
            <v>3.2</v>
          </cell>
          <cell r="D327">
            <v>3.43</v>
          </cell>
          <cell r="E327">
            <v>3.63</v>
          </cell>
          <cell r="F327">
            <v>3.69</v>
          </cell>
          <cell r="G327">
            <v>3.72</v>
          </cell>
          <cell r="H327">
            <v>4.07</v>
          </cell>
          <cell r="I327">
            <v>4.26</v>
          </cell>
          <cell r="J327">
            <v>4.88</v>
          </cell>
          <cell r="K327">
            <v>5.19</v>
          </cell>
          <cell r="L327">
            <v>5.56</v>
          </cell>
          <cell r="M327">
            <v>5.99</v>
          </cell>
          <cell r="N327">
            <v>6.29</v>
          </cell>
          <cell r="O327">
            <v>6.51</v>
          </cell>
          <cell r="P327">
            <v>6.37</v>
          </cell>
          <cell r="Q327">
            <v>6.31</v>
          </cell>
        </row>
        <row r="328">
          <cell r="A328" t="str">
            <v xml:space="preserve"> 3/31/71</v>
          </cell>
          <cell r="C328">
            <v>3.43</v>
          </cell>
          <cell r="D328">
            <v>3.75</v>
          </cell>
          <cell r="E328">
            <v>3.66</v>
          </cell>
          <cell r="F328">
            <v>3.77</v>
          </cell>
          <cell r="G328">
            <v>3.83</v>
          </cell>
          <cell r="H328">
            <v>3.98</v>
          </cell>
          <cell r="I328">
            <v>4.0599999999999996</v>
          </cell>
          <cell r="J328">
            <v>4.62</v>
          </cell>
          <cell r="K328">
            <v>4.9000000000000004</v>
          </cell>
          <cell r="L328">
            <v>5.19</v>
          </cell>
          <cell r="M328">
            <v>5.51</v>
          </cell>
          <cell r="N328">
            <v>5.74</v>
          </cell>
          <cell r="O328">
            <v>5.91</v>
          </cell>
          <cell r="P328">
            <v>5.97</v>
          </cell>
          <cell r="Q328">
            <v>5.99</v>
          </cell>
        </row>
        <row r="329">
          <cell r="A329" t="str">
            <v xml:space="preserve"> 4/30/71</v>
          </cell>
          <cell r="C329">
            <v>3.8</v>
          </cell>
          <cell r="D329">
            <v>4.01</v>
          </cell>
          <cell r="E329">
            <v>4.3099999999999996</v>
          </cell>
          <cell r="F329">
            <v>4.54</v>
          </cell>
          <cell r="G329">
            <v>4.66</v>
          </cell>
          <cell r="H329">
            <v>5.08</v>
          </cell>
          <cell r="I329">
            <v>5.3</v>
          </cell>
          <cell r="J329">
            <v>5.76</v>
          </cell>
          <cell r="K329">
            <v>5.99</v>
          </cell>
          <cell r="L329">
            <v>6.12</v>
          </cell>
          <cell r="M329">
            <v>6.27</v>
          </cell>
          <cell r="N329">
            <v>6.23</v>
          </cell>
          <cell r="O329">
            <v>6.11</v>
          </cell>
          <cell r="P329">
            <v>6.1</v>
          </cell>
          <cell r="Q329">
            <v>6.1</v>
          </cell>
        </row>
        <row r="330">
          <cell r="A330" t="str">
            <v xml:space="preserve"> 5/28/71</v>
          </cell>
          <cell r="C330">
            <v>4.0999999999999996</v>
          </cell>
          <cell r="D330">
            <v>4.42</v>
          </cell>
          <cell r="E330">
            <v>4.4800000000000004</v>
          </cell>
          <cell r="F330">
            <v>4.84</v>
          </cell>
          <cell r="G330">
            <v>5.0199999999999996</v>
          </cell>
          <cell r="H330">
            <v>5.48</v>
          </cell>
          <cell r="I330">
            <v>5.72</v>
          </cell>
          <cell r="J330">
            <v>5.88</v>
          </cell>
          <cell r="K330">
            <v>5.97</v>
          </cell>
          <cell r="L330">
            <v>6.22</v>
          </cell>
          <cell r="M330">
            <v>6.51</v>
          </cell>
          <cell r="N330">
            <v>6.53</v>
          </cell>
          <cell r="O330">
            <v>6.42</v>
          </cell>
          <cell r="P330">
            <v>6.25</v>
          </cell>
          <cell r="Q330">
            <v>6.2</v>
          </cell>
        </row>
        <row r="331">
          <cell r="A331" t="str">
            <v xml:space="preserve"> 6/30/71</v>
          </cell>
          <cell r="C331">
            <v>4.95</v>
          </cell>
          <cell r="D331">
            <v>5.13</v>
          </cell>
          <cell r="E331">
            <v>5.36</v>
          </cell>
          <cell r="F331">
            <v>5.92</v>
          </cell>
          <cell r="G331">
            <v>6.2</v>
          </cell>
          <cell r="H331">
            <v>6.47</v>
          </cell>
          <cell r="I331">
            <v>6.6</v>
          </cell>
          <cell r="J331">
            <v>6.78</v>
          </cell>
          <cell r="K331">
            <v>6.87</v>
          </cell>
          <cell r="L331">
            <v>6.9</v>
          </cell>
          <cell r="M331">
            <v>6.95</v>
          </cell>
          <cell r="N331">
            <v>6.75</v>
          </cell>
          <cell r="O331">
            <v>6.48</v>
          </cell>
          <cell r="P331">
            <v>6.32</v>
          </cell>
          <cell r="Q331">
            <v>6.29</v>
          </cell>
        </row>
        <row r="332">
          <cell r="A332" t="str">
            <v xml:space="preserve"> 7/30/71</v>
          </cell>
          <cell r="C332">
            <v>5.17</v>
          </cell>
          <cell r="D332">
            <v>5.2</v>
          </cell>
          <cell r="E332">
            <v>5.78</v>
          </cell>
          <cell r="F332">
            <v>6.04</v>
          </cell>
          <cell r="G332">
            <v>6.17</v>
          </cell>
          <cell r="H332">
            <v>6.46</v>
          </cell>
          <cell r="I332">
            <v>6.61</v>
          </cell>
          <cell r="J332">
            <v>6.87</v>
          </cell>
          <cell r="K332">
            <v>7</v>
          </cell>
          <cell r="L332">
            <v>7.05</v>
          </cell>
          <cell r="M332">
            <v>7.11</v>
          </cell>
          <cell r="N332">
            <v>6.97</v>
          </cell>
          <cell r="O332">
            <v>6.76</v>
          </cell>
          <cell r="P332">
            <v>6.24</v>
          </cell>
          <cell r="Q332">
            <v>6.1</v>
          </cell>
        </row>
        <row r="333">
          <cell r="A333" t="str">
            <v xml:space="preserve"> 8/31/71</v>
          </cell>
          <cell r="C333">
            <v>4.5199999999999996</v>
          </cell>
          <cell r="D333">
            <v>4.41</v>
          </cell>
          <cell r="E333">
            <v>4.8</v>
          </cell>
          <cell r="F333">
            <v>5.17</v>
          </cell>
          <cell r="G333">
            <v>5.36</v>
          </cell>
          <cell r="H333">
            <v>5.57</v>
          </cell>
          <cell r="I333">
            <v>5.67</v>
          </cell>
          <cell r="J333">
            <v>5.79</v>
          </cell>
          <cell r="K333">
            <v>5.85</v>
          </cell>
          <cell r="L333">
            <v>6.06</v>
          </cell>
          <cell r="M333">
            <v>6.3</v>
          </cell>
          <cell r="N333">
            <v>6.43</v>
          </cell>
          <cell r="O333">
            <v>6.49</v>
          </cell>
          <cell r="P333">
            <v>5.98</v>
          </cell>
          <cell r="Q333">
            <v>5.84</v>
          </cell>
        </row>
        <row r="334">
          <cell r="A334" t="str">
            <v xml:space="preserve"> 9/30/71</v>
          </cell>
          <cell r="C334">
            <v>4.57</v>
          </cell>
          <cell r="D334">
            <v>4.6100000000000003</v>
          </cell>
          <cell r="E334">
            <v>5</v>
          </cell>
          <cell r="F334">
            <v>5.21</v>
          </cell>
          <cell r="G334">
            <v>5.31</v>
          </cell>
          <cell r="H334">
            <v>5.49</v>
          </cell>
          <cell r="I334">
            <v>5.58</v>
          </cell>
          <cell r="J334">
            <v>5.81</v>
          </cell>
          <cell r="K334">
            <v>5.92</v>
          </cell>
          <cell r="L334">
            <v>6.01</v>
          </cell>
          <cell r="M334">
            <v>6.11</v>
          </cell>
          <cell r="N334">
            <v>6.12</v>
          </cell>
          <cell r="O334">
            <v>6.1</v>
          </cell>
          <cell r="P334">
            <v>5.88</v>
          </cell>
          <cell r="Q334">
            <v>5.82</v>
          </cell>
        </row>
        <row r="335">
          <cell r="A335" t="str">
            <v>10/29/71</v>
          </cell>
          <cell r="C335">
            <v>4.13</v>
          </cell>
          <cell r="D335">
            <v>4.43</v>
          </cell>
          <cell r="E335">
            <v>4.5</v>
          </cell>
          <cell r="F335">
            <v>4.55</v>
          </cell>
          <cell r="G335">
            <v>4.57</v>
          </cell>
          <cell r="H335">
            <v>4.88</v>
          </cell>
          <cell r="I335">
            <v>5.04</v>
          </cell>
          <cell r="J335">
            <v>5.34</v>
          </cell>
          <cell r="K335">
            <v>5.49</v>
          </cell>
          <cell r="L335">
            <v>5.68</v>
          </cell>
          <cell r="M335">
            <v>5.91</v>
          </cell>
          <cell r="N335">
            <v>6.01</v>
          </cell>
          <cell r="O335">
            <v>6.05</v>
          </cell>
          <cell r="P335">
            <v>5.86</v>
          </cell>
          <cell r="Q335">
            <v>5.81</v>
          </cell>
        </row>
        <row r="336">
          <cell r="A336" t="str">
            <v>11/30/71</v>
          </cell>
          <cell r="C336">
            <v>4.0199999999999996</v>
          </cell>
          <cell r="D336">
            <v>4.38</v>
          </cell>
          <cell r="E336">
            <v>4.5199999999999996</v>
          </cell>
          <cell r="F336">
            <v>4.67</v>
          </cell>
          <cell r="G336">
            <v>4.75</v>
          </cell>
          <cell r="H336">
            <v>4.9800000000000004</v>
          </cell>
          <cell r="I336">
            <v>5.09</v>
          </cell>
          <cell r="J336">
            <v>5.42</v>
          </cell>
          <cell r="K336">
            <v>5.59</v>
          </cell>
          <cell r="L336">
            <v>5.79</v>
          </cell>
          <cell r="M336">
            <v>6.02</v>
          </cell>
          <cell r="N336">
            <v>6</v>
          </cell>
          <cell r="O336">
            <v>5.87</v>
          </cell>
          <cell r="P336">
            <v>5.94</v>
          </cell>
          <cell r="Q336">
            <v>5.96</v>
          </cell>
        </row>
        <row r="337">
          <cell r="A337" t="str">
            <v>12/31/71</v>
          </cell>
          <cell r="C337">
            <v>3.36</v>
          </cell>
          <cell r="D337">
            <v>3.74</v>
          </cell>
          <cell r="E337">
            <v>4.03</v>
          </cell>
          <cell r="F337">
            <v>4.1900000000000004</v>
          </cell>
          <cell r="G337">
            <v>4.2699999999999996</v>
          </cell>
          <cell r="H337">
            <v>4.6900000000000004</v>
          </cell>
          <cell r="I337">
            <v>4.9000000000000004</v>
          </cell>
          <cell r="J337">
            <v>5.14</v>
          </cell>
          <cell r="K337">
            <v>5.26</v>
          </cell>
          <cell r="L337">
            <v>5.55</v>
          </cell>
          <cell r="M337">
            <v>5.88</v>
          </cell>
          <cell r="N337">
            <v>6.1</v>
          </cell>
          <cell r="O337">
            <v>6.25</v>
          </cell>
          <cell r="P337">
            <v>5.97</v>
          </cell>
          <cell r="Q337">
            <v>5.9</v>
          </cell>
        </row>
        <row r="338">
          <cell r="A338" t="str">
            <v xml:space="preserve"> 1/31/72</v>
          </cell>
          <cell r="C338">
            <v>3.16</v>
          </cell>
          <cell r="D338">
            <v>3.41</v>
          </cell>
          <cell r="E338">
            <v>3.72</v>
          </cell>
          <cell r="F338">
            <v>4.03</v>
          </cell>
          <cell r="G338">
            <v>4.18</v>
          </cell>
          <cell r="H338">
            <v>4.6399999999999997</v>
          </cell>
          <cell r="I338">
            <v>4.87</v>
          </cell>
          <cell r="J338">
            <v>5.32</v>
          </cell>
          <cell r="K338">
            <v>5.55</v>
          </cell>
          <cell r="L338">
            <v>5.8</v>
          </cell>
          <cell r="M338">
            <v>6.09</v>
          </cell>
          <cell r="N338">
            <v>6.28</v>
          </cell>
          <cell r="O338">
            <v>6.42</v>
          </cell>
          <cell r="P338">
            <v>6</v>
          </cell>
          <cell r="Q338">
            <v>5.91</v>
          </cell>
        </row>
        <row r="339">
          <cell r="A339" t="str">
            <v xml:space="preserve"> 2/29/72</v>
          </cell>
          <cell r="C339">
            <v>3.28</v>
          </cell>
          <cell r="D339">
            <v>3.41</v>
          </cell>
          <cell r="E339">
            <v>3.79</v>
          </cell>
          <cell r="F339">
            <v>4.09</v>
          </cell>
          <cell r="G339">
            <v>4.24</v>
          </cell>
          <cell r="H339">
            <v>4.62</v>
          </cell>
          <cell r="I339">
            <v>4.8099999999999996</v>
          </cell>
          <cell r="J339">
            <v>5.29</v>
          </cell>
          <cell r="K339">
            <v>5.53</v>
          </cell>
          <cell r="L339">
            <v>5.76</v>
          </cell>
          <cell r="M339">
            <v>6.03</v>
          </cell>
          <cell r="N339">
            <v>6.25</v>
          </cell>
          <cell r="O339">
            <v>6.43</v>
          </cell>
          <cell r="P339">
            <v>5.93</v>
          </cell>
          <cell r="Q339">
            <v>5.84</v>
          </cell>
        </row>
        <row r="340">
          <cell r="A340" t="str">
            <v xml:space="preserve"> 3/30/72</v>
          </cell>
          <cell r="C340">
            <v>3.46</v>
          </cell>
          <cell r="D340">
            <v>3.87</v>
          </cell>
          <cell r="E340">
            <v>4.49</v>
          </cell>
          <cell r="F340">
            <v>4.82</v>
          </cell>
          <cell r="G340">
            <v>4.99</v>
          </cell>
          <cell r="H340">
            <v>5.4</v>
          </cell>
          <cell r="I340">
            <v>5.61</v>
          </cell>
          <cell r="J340">
            <v>5.88</v>
          </cell>
          <cell r="K340">
            <v>6.01</v>
          </cell>
          <cell r="L340">
            <v>6.08</v>
          </cell>
          <cell r="M340">
            <v>6.17</v>
          </cell>
          <cell r="N340">
            <v>6.25</v>
          </cell>
          <cell r="O340">
            <v>6.32</v>
          </cell>
          <cell r="P340">
            <v>6.01</v>
          </cell>
          <cell r="Q340">
            <v>5.95</v>
          </cell>
        </row>
        <row r="341">
          <cell r="A341" t="str">
            <v xml:space="preserve"> 4/28/72</v>
          </cell>
          <cell r="C341">
            <v>3.28</v>
          </cell>
          <cell r="D341">
            <v>3.64</v>
          </cell>
          <cell r="E341">
            <v>4.12</v>
          </cell>
          <cell r="F341">
            <v>4.3499999999999996</v>
          </cell>
          <cell r="G341">
            <v>4.47</v>
          </cell>
          <cell r="H341">
            <v>4.93</v>
          </cell>
          <cell r="I341">
            <v>5.16</v>
          </cell>
          <cell r="J341">
            <v>5.56</v>
          </cell>
          <cell r="K341">
            <v>5.76</v>
          </cell>
          <cell r="L341">
            <v>5.92</v>
          </cell>
          <cell r="M341">
            <v>6.1</v>
          </cell>
          <cell r="N341">
            <v>6.24</v>
          </cell>
          <cell r="O341">
            <v>6.36</v>
          </cell>
          <cell r="P341">
            <v>6.06</v>
          </cell>
          <cell r="Q341">
            <v>6.02</v>
          </cell>
        </row>
        <row r="342">
          <cell r="A342" t="str">
            <v xml:space="preserve"> 5/31/72</v>
          </cell>
          <cell r="C342">
            <v>3.51</v>
          </cell>
          <cell r="D342">
            <v>3.8</v>
          </cell>
          <cell r="E342">
            <v>4.1900000000000004</v>
          </cell>
          <cell r="F342">
            <v>4.46</v>
          </cell>
          <cell r="G342">
            <v>4.5999999999999996</v>
          </cell>
          <cell r="H342">
            <v>4.8499999999999996</v>
          </cell>
          <cell r="I342">
            <v>4.9800000000000004</v>
          </cell>
          <cell r="J342">
            <v>5.41</v>
          </cell>
          <cell r="K342">
            <v>5.62</v>
          </cell>
          <cell r="L342">
            <v>5.8</v>
          </cell>
          <cell r="M342">
            <v>6.01</v>
          </cell>
          <cell r="N342">
            <v>6.18</v>
          </cell>
          <cell r="O342">
            <v>6.32</v>
          </cell>
          <cell r="P342">
            <v>5.88</v>
          </cell>
          <cell r="Q342">
            <v>5.81</v>
          </cell>
        </row>
        <row r="343">
          <cell r="A343" t="str">
            <v xml:space="preserve"> 6/30/72</v>
          </cell>
          <cell r="C343">
            <v>3.62</v>
          </cell>
          <cell r="D343">
            <v>4.0599999999999996</v>
          </cell>
          <cell r="E343">
            <v>4.6500000000000004</v>
          </cell>
          <cell r="F343">
            <v>5.03</v>
          </cell>
          <cell r="G343">
            <v>5.23</v>
          </cell>
          <cell r="H343">
            <v>5.39</v>
          </cell>
          <cell r="I343">
            <v>5.48</v>
          </cell>
          <cell r="J343">
            <v>5.77</v>
          </cell>
          <cell r="K343">
            <v>5.91</v>
          </cell>
          <cell r="L343">
            <v>6.01</v>
          </cell>
          <cell r="M343">
            <v>6.12</v>
          </cell>
          <cell r="N343">
            <v>6.22</v>
          </cell>
          <cell r="O343">
            <v>6.29</v>
          </cell>
          <cell r="P343">
            <v>5.94</v>
          </cell>
          <cell r="Q343">
            <v>5.89</v>
          </cell>
        </row>
        <row r="344">
          <cell r="A344" t="str">
            <v xml:space="preserve"> 7/31/72</v>
          </cell>
          <cell r="C344">
            <v>3.53</v>
          </cell>
          <cell r="D344">
            <v>3.83</v>
          </cell>
          <cell r="E344">
            <v>4.3899999999999997</v>
          </cell>
          <cell r="F344">
            <v>4.74</v>
          </cell>
          <cell r="G344">
            <v>4.92</v>
          </cell>
          <cell r="H344">
            <v>5.18</v>
          </cell>
          <cell r="I344">
            <v>5.31</v>
          </cell>
          <cell r="J344">
            <v>5.72</v>
          </cell>
          <cell r="K344">
            <v>5.93</v>
          </cell>
          <cell r="L344">
            <v>6.02</v>
          </cell>
          <cell r="M344">
            <v>6.13</v>
          </cell>
          <cell r="N344">
            <v>6.25</v>
          </cell>
          <cell r="O344">
            <v>6.36</v>
          </cell>
          <cell r="P344">
            <v>5.9</v>
          </cell>
          <cell r="Q344">
            <v>5.9</v>
          </cell>
        </row>
        <row r="345">
          <cell r="A345" t="str">
            <v xml:space="preserve"> 8/31/72</v>
          </cell>
          <cell r="C345">
            <v>4.3600000000000003</v>
          </cell>
          <cell r="D345">
            <v>4.42</v>
          </cell>
          <cell r="E345">
            <v>4.9800000000000004</v>
          </cell>
          <cell r="F345">
            <v>5.31</v>
          </cell>
          <cell r="G345">
            <v>5.47</v>
          </cell>
          <cell r="H345">
            <v>5.58</v>
          </cell>
          <cell r="I345">
            <v>5.63</v>
          </cell>
          <cell r="J345">
            <v>5.96</v>
          </cell>
          <cell r="K345">
            <v>6.13</v>
          </cell>
          <cell r="L345">
            <v>6.23</v>
          </cell>
          <cell r="M345">
            <v>6.36</v>
          </cell>
          <cell r="N345">
            <v>6.45</v>
          </cell>
          <cell r="O345">
            <v>6.53</v>
          </cell>
          <cell r="P345" t="e">
            <v>#N/A</v>
          </cell>
          <cell r="Q345">
            <v>5.83</v>
          </cell>
        </row>
        <row r="346">
          <cell r="A346" t="str">
            <v xml:space="preserve"> 9/29/72</v>
          </cell>
          <cell r="C346">
            <v>4.55</v>
          </cell>
          <cell r="D346">
            <v>4.67</v>
          </cell>
          <cell r="E346">
            <v>5.32</v>
          </cell>
          <cell r="F346">
            <v>5.59</v>
          </cell>
          <cell r="G346">
            <v>5.72</v>
          </cell>
          <cell r="H346">
            <v>5.86</v>
          </cell>
          <cell r="I346">
            <v>5.93</v>
          </cell>
          <cell r="J346">
            <v>6.03</v>
          </cell>
          <cell r="K346">
            <v>6.08</v>
          </cell>
          <cell r="L346">
            <v>6.24</v>
          </cell>
          <cell r="M346">
            <v>6.43</v>
          </cell>
          <cell r="N346">
            <v>6.59</v>
          </cell>
          <cell r="O346">
            <v>6.73</v>
          </cell>
          <cell r="P346" t="e">
            <v>#N/A</v>
          </cell>
          <cell r="Q346">
            <v>5.92</v>
          </cell>
        </row>
        <row r="347">
          <cell r="A347" t="str">
            <v>10/31/72</v>
          </cell>
          <cell r="C347">
            <v>4.58</v>
          </cell>
          <cell r="D347">
            <v>4.82</v>
          </cell>
          <cell r="E347">
            <v>5.23</v>
          </cell>
          <cell r="F347">
            <v>5.43</v>
          </cell>
          <cell r="G347">
            <v>5.54</v>
          </cell>
          <cell r="H347">
            <v>5.76</v>
          </cell>
          <cell r="I347">
            <v>5.88</v>
          </cell>
          <cell r="J347">
            <v>6.04</v>
          </cell>
          <cell r="K347">
            <v>6.12</v>
          </cell>
          <cell r="L347">
            <v>6.24</v>
          </cell>
          <cell r="M347">
            <v>6.38</v>
          </cell>
          <cell r="N347">
            <v>6.46</v>
          </cell>
          <cell r="O347">
            <v>6.51</v>
          </cell>
          <cell r="P347">
            <v>5.61</v>
          </cell>
          <cell r="Q347">
            <v>5.56</v>
          </cell>
        </row>
        <row r="348">
          <cell r="A348" t="str">
            <v>11/30/72</v>
          </cell>
          <cell r="C348">
            <v>4.8099999999999996</v>
          </cell>
          <cell r="D348">
            <v>4.92</v>
          </cell>
          <cell r="E348">
            <v>5.3</v>
          </cell>
          <cell r="F348">
            <v>5.38</v>
          </cell>
          <cell r="G348">
            <v>5.42</v>
          </cell>
          <cell r="H348">
            <v>5.61</v>
          </cell>
          <cell r="I348">
            <v>5.7</v>
          </cell>
          <cell r="J348">
            <v>5.92</v>
          </cell>
          <cell r="K348">
            <v>6.04</v>
          </cell>
          <cell r="L348">
            <v>6.13</v>
          </cell>
          <cell r="M348">
            <v>6.24</v>
          </cell>
          <cell r="N348">
            <v>6.34</v>
          </cell>
          <cell r="O348">
            <v>6.42</v>
          </cell>
          <cell r="P348">
            <v>5.4</v>
          </cell>
          <cell r="Q348">
            <v>5.35</v>
          </cell>
        </row>
        <row r="349">
          <cell r="A349" t="str">
            <v>12/29/72</v>
          </cell>
          <cell r="C349">
            <v>4.88</v>
          </cell>
          <cell r="D349">
            <v>5.24</v>
          </cell>
          <cell r="E349">
            <v>5.54</v>
          </cell>
          <cell r="F349">
            <v>5.6</v>
          </cell>
          <cell r="G349">
            <v>5.62</v>
          </cell>
          <cell r="H349">
            <v>5.85</v>
          </cell>
          <cell r="I349">
            <v>5.96</v>
          </cell>
          <cell r="J349">
            <v>6.08</v>
          </cell>
          <cell r="K349">
            <v>6.15</v>
          </cell>
          <cell r="L349">
            <v>6.24</v>
          </cell>
          <cell r="M349">
            <v>6.34</v>
          </cell>
          <cell r="N349">
            <v>6.4</v>
          </cell>
          <cell r="O349">
            <v>6.44</v>
          </cell>
          <cell r="P349">
            <v>5.66</v>
          </cell>
          <cell r="Q349">
            <v>5.64</v>
          </cell>
        </row>
        <row r="350">
          <cell r="A350" t="str">
            <v xml:space="preserve"> 1/31/73</v>
          </cell>
          <cell r="C350">
            <v>5.48</v>
          </cell>
          <cell r="D350">
            <v>5.86</v>
          </cell>
          <cell r="E350">
            <v>6.03</v>
          </cell>
          <cell r="F350">
            <v>6.14</v>
          </cell>
          <cell r="G350">
            <v>6.2</v>
          </cell>
          <cell r="H350">
            <v>6.31</v>
          </cell>
          <cell r="I350">
            <v>6.37</v>
          </cell>
          <cell r="J350">
            <v>6.43</v>
          </cell>
          <cell r="K350">
            <v>6.47</v>
          </cell>
          <cell r="L350">
            <v>6.44</v>
          </cell>
          <cell r="M350">
            <v>6.4</v>
          </cell>
          <cell r="N350">
            <v>6.52</v>
          </cell>
          <cell r="O350">
            <v>6.68</v>
          </cell>
          <cell r="P350">
            <v>7.12</v>
          </cell>
          <cell r="Q350">
            <v>7.12</v>
          </cell>
        </row>
        <row r="351">
          <cell r="A351" t="str">
            <v xml:space="preserve"> 2/28/73</v>
          </cell>
          <cell r="C351">
            <v>5.67</v>
          </cell>
          <cell r="D351">
            <v>6</v>
          </cell>
          <cell r="E351">
            <v>6.21</v>
          </cell>
          <cell r="F351">
            <v>6.34</v>
          </cell>
          <cell r="G351">
            <v>6.41</v>
          </cell>
          <cell r="H351">
            <v>6.65</v>
          </cell>
          <cell r="I351">
            <v>6.77</v>
          </cell>
          <cell r="J351">
            <v>6.78</v>
          </cell>
          <cell r="K351">
            <v>6.79</v>
          </cell>
          <cell r="L351">
            <v>6.71</v>
          </cell>
          <cell r="M351">
            <v>6.63</v>
          </cell>
          <cell r="N351">
            <v>6.62</v>
          </cell>
          <cell r="O351">
            <v>6.65</v>
          </cell>
          <cell r="P351" t="e">
            <v>#N/A</v>
          </cell>
          <cell r="Q351">
            <v>7.1</v>
          </cell>
        </row>
        <row r="352">
          <cell r="A352" t="str">
            <v xml:space="preserve"> 3/30/73</v>
          </cell>
          <cell r="C352">
            <v>6.1</v>
          </cell>
          <cell r="D352">
            <v>6.58</v>
          </cell>
          <cell r="E352">
            <v>6.99</v>
          </cell>
          <cell r="F352">
            <v>7.03</v>
          </cell>
          <cell r="G352">
            <v>7.05</v>
          </cell>
          <cell r="H352">
            <v>7.01</v>
          </cell>
          <cell r="I352">
            <v>6.99</v>
          </cell>
          <cell r="J352">
            <v>6.85</v>
          </cell>
          <cell r="K352">
            <v>6.77</v>
          </cell>
          <cell r="L352">
            <v>6.75</v>
          </cell>
          <cell r="M352">
            <v>6.73</v>
          </cell>
          <cell r="N352">
            <v>6.67</v>
          </cell>
          <cell r="O352">
            <v>6.61</v>
          </cell>
          <cell r="P352" t="e">
            <v>#N/A</v>
          </cell>
          <cell r="Q352">
            <v>7.03</v>
          </cell>
        </row>
        <row r="353">
          <cell r="A353" t="str">
            <v xml:space="preserve"> 4/30/73</v>
          </cell>
          <cell r="C353">
            <v>6.06</v>
          </cell>
          <cell r="D353">
            <v>6.53</v>
          </cell>
          <cell r="E353">
            <v>6.73</v>
          </cell>
          <cell r="F353">
            <v>6.8</v>
          </cell>
          <cell r="G353">
            <v>6.83</v>
          </cell>
          <cell r="H353">
            <v>6.83</v>
          </cell>
          <cell r="I353">
            <v>6.83</v>
          </cell>
          <cell r="J353">
            <v>6.76</v>
          </cell>
          <cell r="K353">
            <v>6.73</v>
          </cell>
          <cell r="L353">
            <v>6.72</v>
          </cell>
          <cell r="M353">
            <v>6.71</v>
          </cell>
          <cell r="N353">
            <v>6.69</v>
          </cell>
          <cell r="O353">
            <v>6.66</v>
          </cell>
          <cell r="P353" t="e">
            <v>#N/A</v>
          </cell>
          <cell r="Q353">
            <v>7.05</v>
          </cell>
        </row>
        <row r="354">
          <cell r="A354" t="str">
            <v xml:space="preserve"> 5/31/73</v>
          </cell>
          <cell r="C354">
            <v>6.66</v>
          </cell>
          <cell r="D354">
            <v>7.16</v>
          </cell>
          <cell r="E354">
            <v>7.2</v>
          </cell>
          <cell r="F354">
            <v>7.23</v>
          </cell>
          <cell r="G354">
            <v>7.24</v>
          </cell>
          <cell r="H354">
            <v>7.07</v>
          </cell>
          <cell r="I354">
            <v>6.98</v>
          </cell>
          <cell r="J354">
            <v>6.78</v>
          </cell>
          <cell r="K354">
            <v>6.68</v>
          </cell>
          <cell r="L354">
            <v>6.75</v>
          </cell>
          <cell r="M354">
            <v>6.83</v>
          </cell>
          <cell r="N354">
            <v>6.86</v>
          </cell>
          <cell r="O354">
            <v>6.86</v>
          </cell>
          <cell r="P354">
            <v>7.12</v>
          </cell>
          <cell r="Q354">
            <v>7.33</v>
          </cell>
        </row>
        <row r="355">
          <cell r="A355" t="str">
            <v xml:space="preserve"> 6/29/73</v>
          </cell>
          <cell r="C355">
            <v>7.57</v>
          </cell>
          <cell r="D355">
            <v>7.71</v>
          </cell>
          <cell r="E355">
            <v>7.91</v>
          </cell>
          <cell r="F355">
            <v>7.92</v>
          </cell>
          <cell r="G355">
            <v>7.92</v>
          </cell>
          <cell r="H355">
            <v>7.41</v>
          </cell>
          <cell r="I355">
            <v>7.16</v>
          </cell>
          <cell r="J355">
            <v>6.99</v>
          </cell>
          <cell r="K355">
            <v>6.91</v>
          </cell>
          <cell r="L355">
            <v>6.87</v>
          </cell>
          <cell r="M355">
            <v>6.82</v>
          </cell>
          <cell r="N355">
            <v>6.85</v>
          </cell>
          <cell r="O355">
            <v>6.92</v>
          </cell>
          <cell r="P355">
            <v>7.2</v>
          </cell>
          <cell r="Q355">
            <v>7.41</v>
          </cell>
        </row>
        <row r="356">
          <cell r="A356" t="str">
            <v xml:space="preserve"> 7/31/73</v>
          </cell>
          <cell r="C356">
            <v>8.4700000000000006</v>
          </cell>
          <cell r="D356">
            <v>8.5399999999999991</v>
          </cell>
          <cell r="E356">
            <v>8.7100000000000009</v>
          </cell>
          <cell r="F356">
            <v>9.01</v>
          </cell>
          <cell r="G356">
            <v>9.16</v>
          </cell>
          <cell r="H356">
            <v>8.5299999999999994</v>
          </cell>
          <cell r="I356">
            <v>8.2100000000000009</v>
          </cell>
          <cell r="J356">
            <v>8.06</v>
          </cell>
          <cell r="K356">
            <v>7.99</v>
          </cell>
          <cell r="L356">
            <v>7.73</v>
          </cell>
          <cell r="M356">
            <v>7.43</v>
          </cell>
          <cell r="N356">
            <v>7.29</v>
          </cell>
          <cell r="O356">
            <v>7.21</v>
          </cell>
          <cell r="P356">
            <v>7.65</v>
          </cell>
          <cell r="Q356">
            <v>8</v>
          </cell>
        </row>
        <row r="357">
          <cell r="A357" t="str">
            <v xml:space="preserve"> 8/31/73</v>
          </cell>
          <cell r="C357">
            <v>8.73</v>
          </cell>
          <cell r="D357">
            <v>8.8000000000000007</v>
          </cell>
          <cell r="E357">
            <v>8.89</v>
          </cell>
          <cell r="F357">
            <v>8.7899999999999991</v>
          </cell>
          <cell r="G357">
            <v>8.74</v>
          </cell>
          <cell r="H357">
            <v>8.17</v>
          </cell>
          <cell r="I357">
            <v>7.88</v>
          </cell>
          <cell r="J357">
            <v>7.46</v>
          </cell>
          <cell r="K357">
            <v>7.25</v>
          </cell>
          <cell r="L357">
            <v>7.17</v>
          </cell>
          <cell r="M357">
            <v>7.08</v>
          </cell>
          <cell r="N357">
            <v>7.11</v>
          </cell>
          <cell r="O357">
            <v>7.18</v>
          </cell>
          <cell r="P357">
            <v>7.32</v>
          </cell>
          <cell r="Q357">
            <v>7.42</v>
          </cell>
        </row>
        <row r="358">
          <cell r="A358" t="str">
            <v xml:space="preserve"> 9/28/73</v>
          </cell>
          <cell r="C358">
            <v>7.3</v>
          </cell>
          <cell r="D358">
            <v>7.22</v>
          </cell>
          <cell r="E358">
            <v>7.99</v>
          </cell>
          <cell r="F358">
            <v>7.87</v>
          </cell>
          <cell r="G358">
            <v>7.81</v>
          </cell>
          <cell r="H358">
            <v>7.3</v>
          </cell>
          <cell r="I358">
            <v>7.04</v>
          </cell>
          <cell r="J358">
            <v>6.8</v>
          </cell>
          <cell r="K358">
            <v>6.67</v>
          </cell>
          <cell r="L358">
            <v>6.72</v>
          </cell>
          <cell r="M358">
            <v>6.78</v>
          </cell>
          <cell r="N358">
            <v>6.9</v>
          </cell>
          <cell r="O358">
            <v>7.04</v>
          </cell>
          <cell r="P358">
            <v>7.11</v>
          </cell>
          <cell r="Q358">
            <v>7.15</v>
          </cell>
        </row>
        <row r="359">
          <cell r="A359" t="str">
            <v>10/31/73</v>
          </cell>
          <cell r="C359">
            <v>7.09</v>
          </cell>
          <cell r="D359">
            <v>7.56</v>
          </cell>
          <cell r="E359">
            <v>7.69</v>
          </cell>
          <cell r="F359">
            <v>7.45</v>
          </cell>
          <cell r="G359">
            <v>7.33</v>
          </cell>
          <cell r="H359">
            <v>6.97</v>
          </cell>
          <cell r="I359">
            <v>6.79</v>
          </cell>
          <cell r="J359">
            <v>6.82</v>
          </cell>
          <cell r="K359">
            <v>6.83</v>
          </cell>
          <cell r="L359">
            <v>6.77</v>
          </cell>
          <cell r="M359">
            <v>6.69</v>
          </cell>
          <cell r="N359">
            <v>6.87</v>
          </cell>
          <cell r="O359">
            <v>7.14</v>
          </cell>
          <cell r="P359">
            <v>7.18</v>
          </cell>
          <cell r="Q359">
            <v>7.18</v>
          </cell>
        </row>
        <row r="360">
          <cell r="A360" t="str">
            <v>11/30/73</v>
          </cell>
          <cell r="C360">
            <v>7.64</v>
          </cell>
          <cell r="D360">
            <v>7.72</v>
          </cell>
          <cell r="E360">
            <v>8.27</v>
          </cell>
          <cell r="F360">
            <v>7.83</v>
          </cell>
          <cell r="G360">
            <v>7.61</v>
          </cell>
          <cell r="H360">
            <v>7.07</v>
          </cell>
          <cell r="I360">
            <v>6.8</v>
          </cell>
          <cell r="J360">
            <v>6.82</v>
          </cell>
          <cell r="K360">
            <v>6.83</v>
          </cell>
          <cell r="L360">
            <v>6.75</v>
          </cell>
          <cell r="M360">
            <v>6.66</v>
          </cell>
          <cell r="N360">
            <v>6.88</v>
          </cell>
          <cell r="O360">
            <v>7.22</v>
          </cell>
          <cell r="P360">
            <v>7.27</v>
          </cell>
          <cell r="Q360">
            <v>7.28</v>
          </cell>
        </row>
        <row r="361">
          <cell r="A361" t="str">
            <v>12/31/73</v>
          </cell>
          <cell r="C361">
            <v>7.5</v>
          </cell>
          <cell r="D361">
            <v>7.73</v>
          </cell>
          <cell r="E361">
            <v>7.85</v>
          </cell>
          <cell r="F361">
            <v>7.53</v>
          </cell>
          <cell r="G361">
            <v>7.38</v>
          </cell>
          <cell r="H361">
            <v>7.04</v>
          </cell>
          <cell r="I361">
            <v>6.87</v>
          </cell>
          <cell r="J361">
            <v>6.84</v>
          </cell>
          <cell r="K361">
            <v>6.82</v>
          </cell>
          <cell r="L361">
            <v>6.77</v>
          </cell>
          <cell r="M361">
            <v>6.72</v>
          </cell>
          <cell r="N361">
            <v>7.05</v>
          </cell>
          <cell r="O361">
            <v>7.5</v>
          </cell>
          <cell r="P361">
            <v>7.44</v>
          </cell>
          <cell r="Q361">
            <v>7.35</v>
          </cell>
        </row>
        <row r="362">
          <cell r="A362" t="str">
            <v xml:space="preserve"> 1/31/74</v>
          </cell>
          <cell r="C362">
            <v>7.61</v>
          </cell>
          <cell r="D362">
            <v>7.84</v>
          </cell>
          <cell r="E362">
            <v>7.69</v>
          </cell>
          <cell r="F362">
            <v>7.37</v>
          </cell>
          <cell r="G362">
            <v>7.22</v>
          </cell>
          <cell r="H362">
            <v>6.98</v>
          </cell>
          <cell r="I362">
            <v>6.86</v>
          </cell>
          <cell r="J362">
            <v>6.91</v>
          </cell>
          <cell r="K362">
            <v>6.93</v>
          </cell>
          <cell r="L362">
            <v>6.92</v>
          </cell>
          <cell r="M362">
            <v>6.9</v>
          </cell>
          <cell r="N362">
            <v>7.16</v>
          </cell>
          <cell r="O362">
            <v>7.51</v>
          </cell>
          <cell r="P362">
            <v>7.58</v>
          </cell>
          <cell r="Q362">
            <v>7.6</v>
          </cell>
        </row>
        <row r="363">
          <cell r="A363" t="str">
            <v xml:space="preserve"> 2/28/74</v>
          </cell>
          <cell r="C363">
            <v>7.49</v>
          </cell>
          <cell r="D363">
            <v>7.76</v>
          </cell>
          <cell r="E363">
            <v>7.64</v>
          </cell>
          <cell r="F363">
            <v>7.32</v>
          </cell>
          <cell r="G363">
            <v>7.16</v>
          </cell>
          <cell r="H363">
            <v>6.96</v>
          </cell>
          <cell r="I363">
            <v>6.87</v>
          </cell>
          <cell r="J363">
            <v>6.95</v>
          </cell>
          <cell r="K363">
            <v>6.99</v>
          </cell>
          <cell r="L363">
            <v>6.99</v>
          </cell>
          <cell r="M363">
            <v>6.99</v>
          </cell>
          <cell r="N363">
            <v>7.17</v>
          </cell>
          <cell r="O363">
            <v>7.42</v>
          </cell>
          <cell r="P363">
            <v>7.75</v>
          </cell>
          <cell r="Q363">
            <v>7.96</v>
          </cell>
        </row>
        <row r="364">
          <cell r="A364" t="str">
            <v xml:space="preserve"> 3/29/74</v>
          </cell>
          <cell r="C364">
            <v>8.6</v>
          </cell>
          <cell r="D364">
            <v>8.81</v>
          </cell>
          <cell r="E364">
            <v>8.77</v>
          </cell>
          <cell r="F364">
            <v>8.6300000000000008</v>
          </cell>
          <cell r="G364">
            <v>8.5500000000000007</v>
          </cell>
          <cell r="H364">
            <v>8.1999999999999993</v>
          </cell>
          <cell r="I364">
            <v>8.0299999999999994</v>
          </cell>
          <cell r="J364">
            <v>7.86</v>
          </cell>
          <cell r="K364">
            <v>7.78</v>
          </cell>
          <cell r="L364">
            <v>7.69</v>
          </cell>
          <cell r="M364">
            <v>7.59</v>
          </cell>
          <cell r="N364">
            <v>7.49</v>
          </cell>
          <cell r="O364">
            <v>7.4</v>
          </cell>
          <cell r="P364">
            <v>8.0500000000000007</v>
          </cell>
          <cell r="Q364">
            <v>8.51</v>
          </cell>
        </row>
        <row r="365">
          <cell r="A365" t="str">
            <v xml:space="preserve"> 4/30/74</v>
          </cell>
          <cell r="C365">
            <v>8.84</v>
          </cell>
          <cell r="D365">
            <v>9.16</v>
          </cell>
          <cell r="E365">
            <v>9.17</v>
          </cell>
          <cell r="F365">
            <v>9.2100000000000009</v>
          </cell>
          <cell r="G365">
            <v>9.23</v>
          </cell>
          <cell r="H365">
            <v>8.7100000000000009</v>
          </cell>
          <cell r="I365">
            <v>8.44</v>
          </cell>
          <cell r="J365">
            <v>8.34</v>
          </cell>
          <cell r="K365">
            <v>8.2899999999999991</v>
          </cell>
          <cell r="L365">
            <v>8.17</v>
          </cell>
          <cell r="M365">
            <v>8.0399999999999991</v>
          </cell>
          <cell r="N365">
            <v>7.78</v>
          </cell>
          <cell r="O365">
            <v>7.5</v>
          </cell>
          <cell r="P365">
            <v>8.35</v>
          </cell>
          <cell r="Q365">
            <v>8.9499999999999993</v>
          </cell>
        </row>
        <row r="366">
          <cell r="A366" t="str">
            <v xml:space="preserve"> 5/31/74</v>
          </cell>
          <cell r="C366">
            <v>7.8</v>
          </cell>
          <cell r="D366">
            <v>8.42</v>
          </cell>
          <cell r="E366">
            <v>8.7100000000000009</v>
          </cell>
          <cell r="F366">
            <v>8.7899999999999991</v>
          </cell>
          <cell r="G366">
            <v>8.84</v>
          </cell>
          <cell r="H366">
            <v>8.42</v>
          </cell>
          <cell r="I366">
            <v>8.2100000000000009</v>
          </cell>
          <cell r="J366">
            <v>8.15</v>
          </cell>
          <cell r="K366">
            <v>8.1199999999999992</v>
          </cell>
          <cell r="L366">
            <v>8.0399999999999991</v>
          </cell>
          <cell r="M366">
            <v>7.95</v>
          </cell>
          <cell r="N366">
            <v>7.71</v>
          </cell>
          <cell r="O366">
            <v>7.42</v>
          </cell>
          <cell r="P366">
            <v>8.44</v>
          </cell>
          <cell r="Q366">
            <v>9.14</v>
          </cell>
        </row>
        <row r="367">
          <cell r="A367" t="str">
            <v xml:space="preserve"> 6/28/74</v>
          </cell>
          <cell r="C367">
            <v>7.8</v>
          </cell>
          <cell r="D367">
            <v>7.85</v>
          </cell>
          <cell r="E367">
            <v>8.31</v>
          </cell>
          <cell r="F367">
            <v>8.75</v>
          </cell>
          <cell r="G367">
            <v>8.98</v>
          </cell>
          <cell r="H367">
            <v>8.6</v>
          </cell>
          <cell r="I367">
            <v>8.4</v>
          </cell>
          <cell r="J367">
            <v>8.4700000000000006</v>
          </cell>
          <cell r="K367">
            <v>8.51</v>
          </cell>
          <cell r="L367">
            <v>8.32</v>
          </cell>
          <cell r="M367">
            <v>8.1</v>
          </cell>
          <cell r="N367">
            <v>7.8</v>
          </cell>
          <cell r="O367">
            <v>7.49</v>
          </cell>
          <cell r="P367">
            <v>8.27</v>
          </cell>
          <cell r="Q367">
            <v>8.81</v>
          </cell>
        </row>
        <row r="368">
          <cell r="A368" t="str">
            <v xml:space="preserve"> 7/31/74</v>
          </cell>
          <cell r="C368">
            <v>7.56</v>
          </cell>
          <cell r="D368">
            <v>7.76</v>
          </cell>
          <cell r="E368">
            <v>8.36</v>
          </cell>
          <cell r="F368">
            <v>8.74</v>
          </cell>
          <cell r="G368">
            <v>8.93</v>
          </cell>
          <cell r="H368">
            <v>8.76</v>
          </cell>
          <cell r="I368">
            <v>8.68</v>
          </cell>
          <cell r="J368">
            <v>8.66</v>
          </cell>
          <cell r="K368">
            <v>8.65</v>
          </cell>
          <cell r="L368">
            <v>8.5</v>
          </cell>
          <cell r="M368">
            <v>8.33</v>
          </cell>
          <cell r="N368">
            <v>7.96</v>
          </cell>
          <cell r="O368">
            <v>7.52</v>
          </cell>
          <cell r="P368">
            <v>8.4700000000000006</v>
          </cell>
          <cell r="Q368">
            <v>9.11</v>
          </cell>
        </row>
        <row r="369">
          <cell r="A369" t="str">
            <v xml:space="preserve"> 8/30/74</v>
          </cell>
          <cell r="C369">
            <v>9.31</v>
          </cell>
          <cell r="D369">
            <v>9.42</v>
          </cell>
          <cell r="E369">
            <v>9.89</v>
          </cell>
          <cell r="F369">
            <v>10.06</v>
          </cell>
          <cell r="G369">
            <v>10.14</v>
          </cell>
          <cell r="H369">
            <v>9.41</v>
          </cell>
          <cell r="I369">
            <v>9.0500000000000007</v>
          </cell>
          <cell r="J369">
            <v>8.81</v>
          </cell>
          <cell r="K369">
            <v>8.6999999999999993</v>
          </cell>
          <cell r="L369">
            <v>8.6300000000000008</v>
          </cell>
          <cell r="M369">
            <v>8.56</v>
          </cell>
          <cell r="N369">
            <v>8.14</v>
          </cell>
          <cell r="O369">
            <v>7.61</v>
          </cell>
          <cell r="P369">
            <v>8.8000000000000007</v>
          </cell>
          <cell r="Q369">
            <v>9.76</v>
          </cell>
        </row>
        <row r="370">
          <cell r="A370" t="str">
            <v xml:space="preserve"> 9/30/74</v>
          </cell>
          <cell r="C370">
            <v>6.19</v>
          </cell>
          <cell r="D370">
            <v>6.24</v>
          </cell>
          <cell r="E370">
            <v>7.81</v>
          </cell>
          <cell r="F370">
            <v>8.2899999999999991</v>
          </cell>
          <cell r="G370">
            <v>8.5299999999999994</v>
          </cell>
          <cell r="H370">
            <v>8.25</v>
          </cell>
          <cell r="I370">
            <v>8.11</v>
          </cell>
          <cell r="J370">
            <v>8.17</v>
          </cell>
          <cell r="K370">
            <v>8.19</v>
          </cell>
          <cell r="L370">
            <v>8.09</v>
          </cell>
          <cell r="M370">
            <v>7.98</v>
          </cell>
          <cell r="N370">
            <v>7.91</v>
          </cell>
          <cell r="O370">
            <v>7.88</v>
          </cell>
          <cell r="P370">
            <v>8.76</v>
          </cell>
          <cell r="Q370">
            <v>9.43</v>
          </cell>
        </row>
        <row r="371">
          <cell r="A371" t="str">
            <v>10/31/74</v>
          </cell>
          <cell r="C371">
            <v>6.98</v>
          </cell>
          <cell r="D371">
            <v>8.3000000000000007</v>
          </cell>
          <cell r="E371">
            <v>8.18</v>
          </cell>
          <cell r="F371">
            <v>8.06</v>
          </cell>
          <cell r="G371">
            <v>8.01</v>
          </cell>
          <cell r="H371">
            <v>7.93</v>
          </cell>
          <cell r="I371">
            <v>7.89</v>
          </cell>
          <cell r="J371">
            <v>8.07</v>
          </cell>
          <cell r="K371">
            <v>8.15</v>
          </cell>
          <cell r="L371">
            <v>8</v>
          </cell>
          <cell r="M371">
            <v>7.83</v>
          </cell>
          <cell r="N371">
            <v>7.71</v>
          </cell>
          <cell r="O371">
            <v>7.63</v>
          </cell>
          <cell r="P371">
            <v>8.42</v>
          </cell>
          <cell r="Q371">
            <v>8.91</v>
          </cell>
        </row>
        <row r="372">
          <cell r="A372" t="str">
            <v>11/29/74</v>
          </cell>
          <cell r="C372">
            <v>7.66</v>
          </cell>
          <cell r="D372">
            <v>7.7</v>
          </cell>
          <cell r="E372">
            <v>8</v>
          </cell>
          <cell r="F372">
            <v>7.74</v>
          </cell>
          <cell r="G372">
            <v>7.61</v>
          </cell>
          <cell r="H372">
            <v>7.42</v>
          </cell>
          <cell r="I372">
            <v>7.32</v>
          </cell>
          <cell r="J372">
            <v>7.5</v>
          </cell>
          <cell r="K372">
            <v>7.6</v>
          </cell>
          <cell r="L372">
            <v>7.62</v>
          </cell>
          <cell r="M372">
            <v>7.64</v>
          </cell>
          <cell r="N372">
            <v>7.61</v>
          </cell>
          <cell r="O372">
            <v>7.58</v>
          </cell>
          <cell r="P372">
            <v>8.25</v>
          </cell>
          <cell r="Q372">
            <v>8.66</v>
          </cell>
        </row>
        <row r="373">
          <cell r="A373" t="str">
            <v>12/31/74</v>
          </cell>
          <cell r="C373">
            <v>6.72</v>
          </cell>
          <cell r="D373">
            <v>7.27</v>
          </cell>
          <cell r="E373">
            <v>7.37</v>
          </cell>
          <cell r="F373">
            <v>7.29</v>
          </cell>
          <cell r="G373">
            <v>7.25</v>
          </cell>
          <cell r="H373">
            <v>7.28</v>
          </cell>
          <cell r="I373">
            <v>7.3</v>
          </cell>
          <cell r="J373">
            <v>7.33</v>
          </cell>
          <cell r="K373">
            <v>7.34</v>
          </cell>
          <cell r="L373">
            <v>7.29</v>
          </cell>
          <cell r="M373">
            <v>7.23</v>
          </cell>
          <cell r="N373">
            <v>7.4</v>
          </cell>
          <cell r="O373">
            <v>7.65</v>
          </cell>
          <cell r="P373">
            <v>8.3000000000000007</v>
          </cell>
          <cell r="Q373">
            <v>8.66</v>
          </cell>
        </row>
        <row r="374">
          <cell r="A374" t="str">
            <v xml:space="preserve"> 1/31/75</v>
          </cell>
          <cell r="C374">
            <v>5.54</v>
          </cell>
          <cell r="D374">
            <v>5.86</v>
          </cell>
          <cell r="E374">
            <v>6.1</v>
          </cell>
          <cell r="F374">
            <v>6.16</v>
          </cell>
          <cell r="G374">
            <v>6.19</v>
          </cell>
          <cell r="H374">
            <v>6.58</v>
          </cell>
          <cell r="I374">
            <v>6.78</v>
          </cell>
          <cell r="J374">
            <v>7.12</v>
          </cell>
          <cell r="K374">
            <v>7.29</v>
          </cell>
          <cell r="L374">
            <v>7.33</v>
          </cell>
          <cell r="M374">
            <v>7.38</v>
          </cell>
          <cell r="N374">
            <v>7.4</v>
          </cell>
          <cell r="O374">
            <v>7.41</v>
          </cell>
          <cell r="P374">
            <v>8.09</v>
          </cell>
          <cell r="Q374">
            <v>8.4700000000000006</v>
          </cell>
        </row>
        <row r="375">
          <cell r="A375" t="str">
            <v xml:space="preserve"> 2/28/75</v>
          </cell>
          <cell r="C375">
            <v>4.79</v>
          </cell>
          <cell r="D375">
            <v>5.61</v>
          </cell>
          <cell r="E375">
            <v>5.84</v>
          </cell>
          <cell r="F375">
            <v>5.91</v>
          </cell>
          <cell r="G375">
            <v>5.94</v>
          </cell>
          <cell r="H375">
            <v>6.16</v>
          </cell>
          <cell r="I375">
            <v>6.27</v>
          </cell>
          <cell r="J375">
            <v>6.7</v>
          </cell>
          <cell r="K375">
            <v>6.92</v>
          </cell>
          <cell r="L375">
            <v>7.13</v>
          </cell>
          <cell r="M375">
            <v>7.37</v>
          </cell>
          <cell r="N375">
            <v>7.38</v>
          </cell>
          <cell r="O375">
            <v>7.29</v>
          </cell>
          <cell r="P375">
            <v>8.25</v>
          </cell>
          <cell r="Q375">
            <v>8.8000000000000007</v>
          </cell>
        </row>
        <row r="376">
          <cell r="A376" t="str">
            <v xml:space="preserve"> 3/31/75</v>
          </cell>
          <cell r="C376">
            <v>5.3</v>
          </cell>
          <cell r="D376">
            <v>5.72</v>
          </cell>
          <cell r="E376">
            <v>5.89</v>
          </cell>
          <cell r="F376">
            <v>6.07</v>
          </cell>
          <cell r="G376">
            <v>6.16</v>
          </cell>
          <cell r="H376">
            <v>6.52</v>
          </cell>
          <cell r="I376">
            <v>6.7</v>
          </cell>
          <cell r="J376">
            <v>7.11</v>
          </cell>
          <cell r="K376">
            <v>7.31</v>
          </cell>
          <cell r="L376">
            <v>7.45</v>
          </cell>
          <cell r="M376">
            <v>7.61</v>
          </cell>
          <cell r="N376">
            <v>7.64</v>
          </cell>
          <cell r="O376">
            <v>7.6</v>
          </cell>
          <cell r="P376">
            <v>8.51</v>
          </cell>
          <cell r="Q376">
            <v>9.23</v>
          </cell>
        </row>
        <row r="377">
          <cell r="A377" t="str">
            <v xml:space="preserve"> 4/30/75</v>
          </cell>
          <cell r="C377">
            <v>5.0199999999999996</v>
          </cell>
          <cell r="D377">
            <v>5.66</v>
          </cell>
          <cell r="E377">
            <v>6.19</v>
          </cell>
          <cell r="F377">
            <v>6.67</v>
          </cell>
          <cell r="G377">
            <v>6.91</v>
          </cell>
          <cell r="H377">
            <v>7.41</v>
          </cell>
          <cell r="I377">
            <v>7.66</v>
          </cell>
          <cell r="J377">
            <v>7.95</v>
          </cell>
          <cell r="K377">
            <v>8.1</v>
          </cell>
          <cell r="L377">
            <v>8.08</v>
          </cell>
          <cell r="M377">
            <v>8.06</v>
          </cell>
          <cell r="N377">
            <v>8.1</v>
          </cell>
          <cell r="O377">
            <v>8.15</v>
          </cell>
          <cell r="P377">
            <v>8.59</v>
          </cell>
          <cell r="Q377">
            <v>8.93</v>
          </cell>
        </row>
        <row r="378">
          <cell r="A378" t="str">
            <v xml:space="preserve"> 5/30/75</v>
          </cell>
          <cell r="C378">
            <v>4.95</v>
          </cell>
          <cell r="D378">
            <v>5.33</v>
          </cell>
          <cell r="E378">
            <v>5.61</v>
          </cell>
          <cell r="F378">
            <v>5.91</v>
          </cell>
          <cell r="G378">
            <v>6.06</v>
          </cell>
          <cell r="H378">
            <v>6.61</v>
          </cell>
          <cell r="I378">
            <v>6.89</v>
          </cell>
          <cell r="J378">
            <v>7.28</v>
          </cell>
          <cell r="K378">
            <v>7.47</v>
          </cell>
          <cell r="L378">
            <v>7.65</v>
          </cell>
          <cell r="M378">
            <v>7.85</v>
          </cell>
          <cell r="N378">
            <v>7.98</v>
          </cell>
          <cell r="O378">
            <v>8.08</v>
          </cell>
          <cell r="P378">
            <v>8.44</v>
          </cell>
          <cell r="Q378">
            <v>8.9</v>
          </cell>
        </row>
        <row r="379">
          <cell r="A379" t="str">
            <v xml:space="preserve"> 6/30/75</v>
          </cell>
          <cell r="C379">
            <v>5.51</v>
          </cell>
          <cell r="D379">
            <v>6.08</v>
          </cell>
          <cell r="E379">
            <v>6.39</v>
          </cell>
          <cell r="F379">
            <v>6.72</v>
          </cell>
          <cell r="G379">
            <v>6.9</v>
          </cell>
          <cell r="H379">
            <v>7.09</v>
          </cell>
          <cell r="I379">
            <v>7.18</v>
          </cell>
          <cell r="J379">
            <v>7.51</v>
          </cell>
          <cell r="K379">
            <v>7.68</v>
          </cell>
          <cell r="L379">
            <v>7.72</v>
          </cell>
          <cell r="M379">
            <v>7.77</v>
          </cell>
          <cell r="N379">
            <v>7.78</v>
          </cell>
          <cell r="O379">
            <v>7.79</v>
          </cell>
          <cell r="P379">
            <v>8.15</v>
          </cell>
          <cell r="Q379">
            <v>8.44</v>
          </cell>
        </row>
        <row r="380">
          <cell r="A380" t="str">
            <v xml:space="preserve"> 7/31/75</v>
          </cell>
          <cell r="C380">
            <v>6.09</v>
          </cell>
          <cell r="D380">
            <v>6.39</v>
          </cell>
          <cell r="E380">
            <v>7</v>
          </cell>
          <cell r="F380">
            <v>7.2</v>
          </cell>
          <cell r="G380">
            <v>7.3</v>
          </cell>
          <cell r="H380">
            <v>7.57</v>
          </cell>
          <cell r="I380">
            <v>7.7</v>
          </cell>
          <cell r="J380">
            <v>7.89</v>
          </cell>
          <cell r="K380">
            <v>7.98</v>
          </cell>
          <cell r="L380">
            <v>7.96</v>
          </cell>
          <cell r="M380">
            <v>7.94</v>
          </cell>
          <cell r="N380">
            <v>7.95</v>
          </cell>
          <cell r="O380">
            <v>7.98</v>
          </cell>
          <cell r="P380">
            <v>8.24</v>
          </cell>
          <cell r="Q380">
            <v>8.57</v>
          </cell>
        </row>
        <row r="381">
          <cell r="A381" t="str">
            <v xml:space="preserve"> 8/29/75</v>
          </cell>
          <cell r="C381">
            <v>5.87</v>
          </cell>
          <cell r="D381">
            <v>6.46</v>
          </cell>
          <cell r="E381">
            <v>7.19</v>
          </cell>
          <cell r="F381">
            <v>7.43</v>
          </cell>
          <cell r="G381">
            <v>7.55</v>
          </cell>
          <cell r="H381">
            <v>7.72</v>
          </cell>
          <cell r="I381">
            <v>7.8</v>
          </cell>
          <cell r="J381">
            <v>8.02</v>
          </cell>
          <cell r="K381">
            <v>8.1300000000000008</v>
          </cell>
          <cell r="L381">
            <v>8.11</v>
          </cell>
          <cell r="M381">
            <v>8.09</v>
          </cell>
          <cell r="N381">
            <v>8.11</v>
          </cell>
          <cell r="O381">
            <v>8.14</v>
          </cell>
          <cell r="P381">
            <v>8.4700000000000006</v>
          </cell>
          <cell r="Q381">
            <v>8.8800000000000008</v>
          </cell>
        </row>
        <row r="382">
          <cell r="A382" t="str">
            <v xml:space="preserve"> 9/30/75</v>
          </cell>
          <cell r="C382">
            <v>6.31</v>
          </cell>
          <cell r="D382">
            <v>6.67</v>
          </cell>
          <cell r="E382">
            <v>7.42</v>
          </cell>
          <cell r="F382">
            <v>7.59</v>
          </cell>
          <cell r="G382">
            <v>7.67</v>
          </cell>
          <cell r="H382">
            <v>8.0500000000000007</v>
          </cell>
          <cell r="I382">
            <v>8.24</v>
          </cell>
          <cell r="J382">
            <v>8.32</v>
          </cell>
          <cell r="K382">
            <v>8.36</v>
          </cell>
          <cell r="L382">
            <v>8.36</v>
          </cell>
          <cell r="M382">
            <v>8.36</v>
          </cell>
          <cell r="N382">
            <v>8.3699999999999992</v>
          </cell>
          <cell r="O382">
            <v>8.39</v>
          </cell>
          <cell r="P382">
            <v>8.6300000000000008</v>
          </cell>
          <cell r="Q382">
            <v>8.9499999999999993</v>
          </cell>
        </row>
        <row r="383">
          <cell r="A383" t="str">
            <v>10/31/75</v>
          </cell>
          <cell r="C383">
            <v>5.35</v>
          </cell>
          <cell r="D383">
            <v>5.67</v>
          </cell>
          <cell r="E383">
            <v>5.96</v>
          </cell>
          <cell r="F383">
            <v>6.18</v>
          </cell>
          <cell r="G383">
            <v>6.29</v>
          </cell>
          <cell r="H383">
            <v>6.8</v>
          </cell>
          <cell r="I383">
            <v>7.06</v>
          </cell>
          <cell r="J383">
            <v>7.34</v>
          </cell>
          <cell r="K383">
            <v>7.47</v>
          </cell>
          <cell r="L383">
            <v>7.65</v>
          </cell>
          <cell r="M383">
            <v>7.86</v>
          </cell>
          <cell r="N383">
            <v>8.01</v>
          </cell>
          <cell r="O383">
            <v>8.1199999999999992</v>
          </cell>
          <cell r="P383">
            <v>8.33</v>
          </cell>
          <cell r="Q383">
            <v>8.4700000000000006</v>
          </cell>
        </row>
        <row r="384">
          <cell r="A384" t="str">
            <v>11/28/75</v>
          </cell>
          <cell r="C384">
            <v>5.12</v>
          </cell>
          <cell r="D384">
            <v>5.69</v>
          </cell>
          <cell r="E384">
            <v>6.22</v>
          </cell>
          <cell r="F384">
            <v>6.43</v>
          </cell>
          <cell r="G384">
            <v>6.53</v>
          </cell>
          <cell r="H384">
            <v>7.05</v>
          </cell>
          <cell r="I384">
            <v>7.32</v>
          </cell>
          <cell r="J384">
            <v>7.56</v>
          </cell>
          <cell r="K384">
            <v>7.68</v>
          </cell>
          <cell r="L384">
            <v>7.87</v>
          </cell>
          <cell r="M384">
            <v>8.09</v>
          </cell>
          <cell r="N384">
            <v>8.1999999999999993</v>
          </cell>
          <cell r="O384">
            <v>8.26</v>
          </cell>
          <cell r="P384">
            <v>8.49</v>
          </cell>
          <cell r="Q384">
            <v>8.7799999999999994</v>
          </cell>
        </row>
        <row r="385">
          <cell r="A385" t="str">
            <v>12/31/75</v>
          </cell>
          <cell r="C385">
            <v>4.92</v>
          </cell>
          <cell r="D385">
            <v>5.29</v>
          </cell>
          <cell r="E385">
            <v>5.68</v>
          </cell>
          <cell r="F385">
            <v>5.97</v>
          </cell>
          <cell r="G385">
            <v>6.11</v>
          </cell>
          <cell r="H385">
            <v>6.53</v>
          </cell>
          <cell r="I385">
            <v>6.74</v>
          </cell>
          <cell r="J385">
            <v>7.13</v>
          </cell>
          <cell r="K385">
            <v>7.33</v>
          </cell>
          <cell r="L385">
            <v>7.49</v>
          </cell>
          <cell r="M385">
            <v>7.67</v>
          </cell>
          <cell r="N385">
            <v>7.84</v>
          </cell>
          <cell r="O385">
            <v>7.98</v>
          </cell>
          <cell r="P385">
            <v>8.1999999999999993</v>
          </cell>
          <cell r="Q385">
            <v>8.35</v>
          </cell>
        </row>
        <row r="386">
          <cell r="A386" t="str">
            <v xml:space="preserve"> 1/30/76</v>
          </cell>
          <cell r="C386">
            <v>4.47</v>
          </cell>
          <cell r="D386">
            <v>4.84</v>
          </cell>
          <cell r="E386">
            <v>5.08</v>
          </cell>
          <cell r="F386">
            <v>5.35</v>
          </cell>
          <cell r="G386">
            <v>5.49</v>
          </cell>
          <cell r="H386">
            <v>6.08</v>
          </cell>
          <cell r="I386">
            <v>6.38</v>
          </cell>
          <cell r="J386">
            <v>7.01</v>
          </cell>
          <cell r="K386">
            <v>7.33</v>
          </cell>
          <cell r="L386">
            <v>7.53</v>
          </cell>
          <cell r="M386">
            <v>7.75</v>
          </cell>
          <cell r="N386">
            <v>7.84</v>
          </cell>
          <cell r="O386">
            <v>7.87</v>
          </cell>
          <cell r="P386">
            <v>8.1300000000000008</v>
          </cell>
          <cell r="Q386">
            <v>8.32</v>
          </cell>
        </row>
        <row r="387">
          <cell r="A387" t="str">
            <v xml:space="preserve"> 2/27/76</v>
          </cell>
          <cell r="C387">
            <v>4.7</v>
          </cell>
          <cell r="D387">
            <v>5.1100000000000003</v>
          </cell>
          <cell r="E387">
            <v>5.59</v>
          </cell>
          <cell r="F387">
            <v>5.9</v>
          </cell>
          <cell r="G387">
            <v>6.06</v>
          </cell>
          <cell r="H387">
            <v>6.51</v>
          </cell>
          <cell r="I387">
            <v>6.74</v>
          </cell>
          <cell r="J387">
            <v>7.11</v>
          </cell>
          <cell r="K387">
            <v>7.3</v>
          </cell>
          <cell r="L387">
            <v>7.47</v>
          </cell>
          <cell r="M387">
            <v>7.66</v>
          </cell>
          <cell r="N387">
            <v>7.81</v>
          </cell>
          <cell r="O387">
            <v>7.92</v>
          </cell>
          <cell r="P387">
            <v>8.16</v>
          </cell>
          <cell r="Q387">
            <v>8.32</v>
          </cell>
        </row>
        <row r="388">
          <cell r="A388" t="str">
            <v xml:space="preserve"> 3/31/76</v>
          </cell>
          <cell r="C388">
            <v>4.75</v>
          </cell>
          <cell r="D388">
            <v>5.08</v>
          </cell>
          <cell r="E388">
            <v>5.51</v>
          </cell>
          <cell r="F388">
            <v>5.83</v>
          </cell>
          <cell r="G388">
            <v>6</v>
          </cell>
          <cell r="H388">
            <v>6.45</v>
          </cell>
          <cell r="I388">
            <v>6.67</v>
          </cell>
          <cell r="J388">
            <v>7.06</v>
          </cell>
          <cell r="K388">
            <v>7.26</v>
          </cell>
          <cell r="L388">
            <v>7.42</v>
          </cell>
          <cell r="M388">
            <v>7.6</v>
          </cell>
          <cell r="N388">
            <v>7.72</v>
          </cell>
          <cell r="O388">
            <v>7.8</v>
          </cell>
          <cell r="P388">
            <v>8.0399999999999991</v>
          </cell>
          <cell r="Q388">
            <v>8.19</v>
          </cell>
        </row>
        <row r="389">
          <cell r="A389" t="str">
            <v xml:space="preserve"> 4/30/76</v>
          </cell>
          <cell r="C389">
            <v>4.8</v>
          </cell>
          <cell r="D389">
            <v>5.0599999999999996</v>
          </cell>
          <cell r="E389">
            <v>5.42</v>
          </cell>
          <cell r="F389">
            <v>5.85</v>
          </cell>
          <cell r="G389">
            <v>6.07</v>
          </cell>
          <cell r="H389">
            <v>6.44</v>
          </cell>
          <cell r="I389">
            <v>6.63</v>
          </cell>
          <cell r="J389">
            <v>6.98</v>
          </cell>
          <cell r="K389">
            <v>7.16</v>
          </cell>
          <cell r="L389">
            <v>7.35</v>
          </cell>
          <cell r="M389">
            <v>7.57</v>
          </cell>
          <cell r="N389">
            <v>7.75</v>
          </cell>
          <cell r="O389">
            <v>7.9</v>
          </cell>
          <cell r="P389">
            <v>8.1300000000000008</v>
          </cell>
          <cell r="Q389">
            <v>8.27</v>
          </cell>
        </row>
        <row r="390">
          <cell r="A390" t="str">
            <v xml:space="preserve"> 5/28/76</v>
          </cell>
          <cell r="C390">
            <v>5.24</v>
          </cell>
          <cell r="D390">
            <v>5.67</v>
          </cell>
          <cell r="E390">
            <v>6.15</v>
          </cell>
          <cell r="F390">
            <v>6.51</v>
          </cell>
          <cell r="G390">
            <v>6.71</v>
          </cell>
          <cell r="H390">
            <v>7.1</v>
          </cell>
          <cell r="I390">
            <v>7.3</v>
          </cell>
          <cell r="J390">
            <v>7.6</v>
          </cell>
          <cell r="K390">
            <v>7.75</v>
          </cell>
          <cell r="L390">
            <v>7.82</v>
          </cell>
          <cell r="M390">
            <v>7.91</v>
          </cell>
          <cell r="N390">
            <v>8.0299999999999994</v>
          </cell>
          <cell r="O390">
            <v>8.15</v>
          </cell>
          <cell r="P390">
            <v>8.31</v>
          </cell>
          <cell r="Q390">
            <v>8.4</v>
          </cell>
        </row>
        <row r="391">
          <cell r="A391" t="str">
            <v xml:space="preserve"> 6/30/76</v>
          </cell>
          <cell r="C391">
            <v>5.35</v>
          </cell>
          <cell r="D391">
            <v>5.5</v>
          </cell>
          <cell r="E391">
            <v>5.96</v>
          </cell>
          <cell r="F391">
            <v>6.27</v>
          </cell>
          <cell r="G391">
            <v>6.43</v>
          </cell>
          <cell r="H391">
            <v>6.79</v>
          </cell>
          <cell r="I391">
            <v>6.97</v>
          </cell>
          <cell r="J391">
            <v>7.29</v>
          </cell>
          <cell r="K391">
            <v>7.45</v>
          </cell>
          <cell r="L391">
            <v>7.58</v>
          </cell>
          <cell r="M391">
            <v>7.74</v>
          </cell>
          <cell r="N391">
            <v>7.9</v>
          </cell>
          <cell r="O391">
            <v>8.0500000000000007</v>
          </cell>
          <cell r="P391">
            <v>8.2200000000000006</v>
          </cell>
          <cell r="Q391">
            <v>8.32</v>
          </cell>
        </row>
        <row r="392">
          <cell r="A392" t="str">
            <v xml:space="preserve"> 7/30/76</v>
          </cell>
          <cell r="C392">
            <v>5.15</v>
          </cell>
          <cell r="D392">
            <v>5.29</v>
          </cell>
          <cell r="E392">
            <v>5.65</v>
          </cell>
          <cell r="F392">
            <v>5.97</v>
          </cell>
          <cell r="G392">
            <v>6.13</v>
          </cell>
          <cell r="H392">
            <v>6.54</v>
          </cell>
          <cell r="I392">
            <v>6.75</v>
          </cell>
          <cell r="J392">
            <v>7.11</v>
          </cell>
          <cell r="K392">
            <v>7.29</v>
          </cell>
          <cell r="L392">
            <v>7.5</v>
          </cell>
          <cell r="M392">
            <v>7.74</v>
          </cell>
          <cell r="N392">
            <v>7.92</v>
          </cell>
          <cell r="O392">
            <v>8.0500000000000007</v>
          </cell>
          <cell r="P392">
            <v>8.2100000000000009</v>
          </cell>
          <cell r="Q392">
            <v>8.31</v>
          </cell>
        </row>
        <row r="393">
          <cell r="A393" t="str">
            <v xml:space="preserve"> 8/31/76</v>
          </cell>
          <cell r="C393">
            <v>5.04</v>
          </cell>
          <cell r="D393">
            <v>5.19</v>
          </cell>
          <cell r="E393">
            <v>5.51</v>
          </cell>
          <cell r="F393">
            <v>5.76</v>
          </cell>
          <cell r="G393">
            <v>5.89</v>
          </cell>
          <cell r="H393">
            <v>6.29</v>
          </cell>
          <cell r="I393">
            <v>6.49</v>
          </cell>
          <cell r="J393">
            <v>6.8</v>
          </cell>
          <cell r="K393">
            <v>6.96</v>
          </cell>
          <cell r="L393">
            <v>7.23</v>
          </cell>
          <cell r="M393">
            <v>7.54</v>
          </cell>
          <cell r="N393">
            <v>7.78</v>
          </cell>
          <cell r="O393">
            <v>7.99</v>
          </cell>
          <cell r="P393">
            <v>8.09</v>
          </cell>
          <cell r="Q393">
            <v>8.14</v>
          </cell>
        </row>
        <row r="394">
          <cell r="A394" t="str">
            <v xml:space="preserve"> 9/30/76</v>
          </cell>
          <cell r="C394">
            <v>5.16</v>
          </cell>
          <cell r="D394">
            <v>5.23</v>
          </cell>
          <cell r="E394">
            <v>5.52</v>
          </cell>
          <cell r="F394">
            <v>5.62</v>
          </cell>
          <cell r="G394">
            <v>5.68</v>
          </cell>
          <cell r="H394">
            <v>6.12</v>
          </cell>
          <cell r="I394">
            <v>6.34</v>
          </cell>
          <cell r="J394">
            <v>6.71</v>
          </cell>
          <cell r="K394">
            <v>6.89</v>
          </cell>
          <cell r="L394">
            <v>7.17</v>
          </cell>
          <cell r="M394">
            <v>7.49</v>
          </cell>
          <cell r="N394">
            <v>7.7</v>
          </cell>
          <cell r="O394">
            <v>7.84</v>
          </cell>
          <cell r="P394">
            <v>8.0299999999999994</v>
          </cell>
          <cell r="Q394">
            <v>8.1300000000000008</v>
          </cell>
        </row>
        <row r="395">
          <cell r="A395" t="str">
            <v>10/29/76</v>
          </cell>
          <cell r="C395">
            <v>4.79</v>
          </cell>
          <cell r="D395">
            <v>5.04</v>
          </cell>
          <cell r="E395">
            <v>5.21</v>
          </cell>
          <cell r="F395">
            <v>5.41</v>
          </cell>
          <cell r="G395">
            <v>5.51</v>
          </cell>
          <cell r="H395">
            <v>5.87</v>
          </cell>
          <cell r="I395">
            <v>6.05</v>
          </cell>
          <cell r="J395">
            <v>6.41</v>
          </cell>
          <cell r="K395">
            <v>6.59</v>
          </cell>
          <cell r="L395">
            <v>6.91</v>
          </cell>
          <cell r="M395">
            <v>7.27</v>
          </cell>
          <cell r="N395">
            <v>7.61</v>
          </cell>
          <cell r="O395">
            <v>7.9</v>
          </cell>
          <cell r="P395">
            <v>8.0500000000000007</v>
          </cell>
          <cell r="Q395">
            <v>8.1199999999999992</v>
          </cell>
        </row>
        <row r="396">
          <cell r="A396" t="str">
            <v>11/30/76</v>
          </cell>
          <cell r="C396">
            <v>4.32</v>
          </cell>
          <cell r="D396">
            <v>4.54</v>
          </cell>
          <cell r="E396">
            <v>4.72</v>
          </cell>
          <cell r="F396">
            <v>4.8499999999999996</v>
          </cell>
          <cell r="G396">
            <v>4.91</v>
          </cell>
          <cell r="H396">
            <v>5.28</v>
          </cell>
          <cell r="I396">
            <v>5.46</v>
          </cell>
          <cell r="J396">
            <v>5.76</v>
          </cell>
          <cell r="K396">
            <v>5.9</v>
          </cell>
          <cell r="L396">
            <v>6.29</v>
          </cell>
          <cell r="M396">
            <v>6.73</v>
          </cell>
          <cell r="N396">
            <v>7.23</v>
          </cell>
          <cell r="O396">
            <v>7.72</v>
          </cell>
          <cell r="P396">
            <v>7.88</v>
          </cell>
          <cell r="Q396">
            <v>7.94</v>
          </cell>
        </row>
        <row r="397">
          <cell r="A397" t="str">
            <v>12/31/76</v>
          </cell>
          <cell r="C397">
            <v>4.24</v>
          </cell>
          <cell r="D397">
            <v>4.4800000000000004</v>
          </cell>
          <cell r="E397">
            <v>4.66</v>
          </cell>
          <cell r="F397">
            <v>4.8</v>
          </cell>
          <cell r="G397">
            <v>4.87</v>
          </cell>
          <cell r="H397">
            <v>5.22</v>
          </cell>
          <cell r="I397">
            <v>5.4</v>
          </cell>
          <cell r="J397">
            <v>5.8</v>
          </cell>
          <cell r="K397">
            <v>6</v>
          </cell>
          <cell r="L397">
            <v>6.28</v>
          </cell>
          <cell r="M397">
            <v>6.6</v>
          </cell>
          <cell r="N397">
            <v>6.96</v>
          </cell>
          <cell r="O397">
            <v>7.31</v>
          </cell>
          <cell r="P397">
            <v>7.57</v>
          </cell>
          <cell r="Q397">
            <v>7.69</v>
          </cell>
        </row>
        <row r="398">
          <cell r="A398" t="str">
            <v xml:space="preserve"> 1/31/77</v>
          </cell>
          <cell r="C398">
            <v>4.62</v>
          </cell>
          <cell r="D398">
            <v>4.8499999999999996</v>
          </cell>
          <cell r="E398">
            <v>5.18</v>
          </cell>
          <cell r="F398">
            <v>5.47</v>
          </cell>
          <cell r="G398">
            <v>5.61</v>
          </cell>
          <cell r="H398">
            <v>6.04</v>
          </cell>
          <cell r="I398">
            <v>6.26</v>
          </cell>
          <cell r="J398">
            <v>6.65</v>
          </cell>
          <cell r="K398">
            <v>6.85</v>
          </cell>
          <cell r="L398">
            <v>7.04</v>
          </cell>
          <cell r="M398">
            <v>7.25</v>
          </cell>
          <cell r="N398">
            <v>7.5</v>
          </cell>
          <cell r="O398">
            <v>7.75</v>
          </cell>
          <cell r="P398">
            <v>7.92</v>
          </cell>
          <cell r="Q398">
            <v>7.99</v>
          </cell>
        </row>
        <row r="399">
          <cell r="A399" t="str">
            <v xml:space="preserve"> 2/28/77</v>
          </cell>
          <cell r="C399">
            <v>4.5199999999999996</v>
          </cell>
          <cell r="D399">
            <v>4.82</v>
          </cell>
          <cell r="E399">
            <v>5.0999999999999996</v>
          </cell>
          <cell r="F399">
            <v>5.38</v>
          </cell>
          <cell r="G399">
            <v>5.52</v>
          </cell>
          <cell r="H399">
            <v>5.98</v>
          </cell>
          <cell r="I399">
            <v>6.21</v>
          </cell>
          <cell r="J399">
            <v>6.64</v>
          </cell>
          <cell r="K399">
            <v>6.86</v>
          </cell>
          <cell r="L399">
            <v>7.08</v>
          </cell>
          <cell r="M399">
            <v>7.32</v>
          </cell>
          <cell r="N399">
            <v>7.58</v>
          </cell>
          <cell r="O399">
            <v>7.82</v>
          </cell>
          <cell r="P399">
            <v>7.98</v>
          </cell>
          <cell r="Q399">
            <v>8.15</v>
          </cell>
        </row>
        <row r="400">
          <cell r="A400" t="str">
            <v xml:space="preserve"> 3/31/77</v>
          </cell>
          <cell r="C400">
            <v>4.54</v>
          </cell>
          <cell r="D400">
            <v>4.68</v>
          </cell>
          <cell r="E400">
            <v>4.92</v>
          </cell>
          <cell r="F400">
            <v>5.28</v>
          </cell>
          <cell r="G400">
            <v>5.46</v>
          </cell>
          <cell r="H400">
            <v>5.8</v>
          </cell>
          <cell r="I400">
            <v>5.98</v>
          </cell>
          <cell r="J400">
            <v>6.52</v>
          </cell>
          <cell r="K400">
            <v>6.79</v>
          </cell>
          <cell r="L400">
            <v>7.02</v>
          </cell>
          <cell r="M400">
            <v>7.29</v>
          </cell>
          <cell r="N400">
            <v>7.56</v>
          </cell>
          <cell r="O400">
            <v>7.81</v>
          </cell>
          <cell r="P400">
            <v>7.95</v>
          </cell>
          <cell r="Q400">
            <v>8.1</v>
          </cell>
        </row>
        <row r="401">
          <cell r="A401" t="str">
            <v xml:space="preserve"> 4/29/77</v>
          </cell>
          <cell r="C401">
            <v>4.42</v>
          </cell>
          <cell r="D401">
            <v>4.83</v>
          </cell>
          <cell r="E401">
            <v>5.0999999999999996</v>
          </cell>
          <cell r="F401">
            <v>5.42</v>
          </cell>
          <cell r="G401">
            <v>5.58</v>
          </cell>
          <cell r="H401">
            <v>5.89</v>
          </cell>
          <cell r="I401">
            <v>6.04</v>
          </cell>
          <cell r="J401">
            <v>6.52</v>
          </cell>
          <cell r="K401">
            <v>6.75</v>
          </cell>
          <cell r="L401">
            <v>7</v>
          </cell>
          <cell r="M401">
            <v>7.29</v>
          </cell>
          <cell r="N401">
            <v>7.57</v>
          </cell>
          <cell r="O401">
            <v>7.83</v>
          </cell>
          <cell r="P401">
            <v>7.95</v>
          </cell>
          <cell r="Q401">
            <v>8.06</v>
          </cell>
        </row>
        <row r="402">
          <cell r="A402" t="str">
            <v xml:space="preserve"> 5/31/77</v>
          </cell>
          <cell r="C402">
            <v>4.76</v>
          </cell>
          <cell r="D402">
            <v>5.13</v>
          </cell>
          <cell r="E402">
            <v>5.4</v>
          </cell>
          <cell r="F402">
            <v>5.67</v>
          </cell>
          <cell r="G402">
            <v>5.8</v>
          </cell>
          <cell r="H402">
            <v>6.02</v>
          </cell>
          <cell r="I402">
            <v>6.13</v>
          </cell>
          <cell r="J402">
            <v>6.55</v>
          </cell>
          <cell r="K402">
            <v>6.77</v>
          </cell>
          <cell r="L402">
            <v>6.97</v>
          </cell>
          <cell r="M402">
            <v>7.21</v>
          </cell>
          <cell r="N402">
            <v>7.5</v>
          </cell>
          <cell r="O402">
            <v>7.79</v>
          </cell>
          <cell r="P402">
            <v>7.91</v>
          </cell>
          <cell r="Q402">
            <v>8</v>
          </cell>
        </row>
        <row r="403">
          <cell r="A403" t="str">
            <v xml:space="preserve"> 6/30/77</v>
          </cell>
          <cell r="C403">
            <v>4.95</v>
          </cell>
          <cell r="D403">
            <v>5.12</v>
          </cell>
          <cell r="E403">
            <v>5.37</v>
          </cell>
          <cell r="F403">
            <v>5.58</v>
          </cell>
          <cell r="G403">
            <v>5.69</v>
          </cell>
          <cell r="H403">
            <v>5.88</v>
          </cell>
          <cell r="I403">
            <v>5.97</v>
          </cell>
          <cell r="J403">
            <v>6.34</v>
          </cell>
          <cell r="K403">
            <v>6.52</v>
          </cell>
          <cell r="L403">
            <v>6.76</v>
          </cell>
          <cell r="M403">
            <v>7.03</v>
          </cell>
          <cell r="N403">
            <v>7.36</v>
          </cell>
          <cell r="O403">
            <v>7.67</v>
          </cell>
          <cell r="P403">
            <v>7.75</v>
          </cell>
          <cell r="Q403">
            <v>7.78</v>
          </cell>
        </row>
        <row r="404">
          <cell r="A404" t="str">
            <v xml:space="preserve"> 7/29/77</v>
          </cell>
          <cell r="C404">
            <v>5.26</v>
          </cell>
          <cell r="D404">
            <v>5.55</v>
          </cell>
          <cell r="E404">
            <v>5.85</v>
          </cell>
          <cell r="F404">
            <v>6.05</v>
          </cell>
          <cell r="G404">
            <v>6.15</v>
          </cell>
          <cell r="H404">
            <v>6.32</v>
          </cell>
          <cell r="I404">
            <v>6.41</v>
          </cell>
          <cell r="J404">
            <v>6.74</v>
          </cell>
          <cell r="K404">
            <v>6.91</v>
          </cell>
          <cell r="L404">
            <v>7.07</v>
          </cell>
          <cell r="M404">
            <v>7.25</v>
          </cell>
          <cell r="N404">
            <v>7.51</v>
          </cell>
          <cell r="O404">
            <v>7.79</v>
          </cell>
          <cell r="P404">
            <v>7.92</v>
          </cell>
          <cell r="Q404">
            <v>8.0500000000000007</v>
          </cell>
        </row>
        <row r="405">
          <cell r="A405" t="str">
            <v xml:space="preserve"> 8/31/77</v>
          </cell>
          <cell r="C405">
            <v>5.35</v>
          </cell>
          <cell r="D405">
            <v>5.69</v>
          </cell>
          <cell r="E405">
            <v>6.07</v>
          </cell>
          <cell r="F405">
            <v>6.23</v>
          </cell>
          <cell r="G405">
            <v>6.32</v>
          </cell>
          <cell r="H405">
            <v>6.44</v>
          </cell>
          <cell r="I405">
            <v>6.51</v>
          </cell>
          <cell r="J405">
            <v>6.75</v>
          </cell>
          <cell r="K405">
            <v>6.87</v>
          </cell>
          <cell r="L405">
            <v>7</v>
          </cell>
          <cell r="M405">
            <v>7.14</v>
          </cell>
          <cell r="N405">
            <v>7.34</v>
          </cell>
          <cell r="O405">
            <v>7.56</v>
          </cell>
          <cell r="P405">
            <v>7.74</v>
          </cell>
          <cell r="Q405">
            <v>7.85</v>
          </cell>
        </row>
        <row r="406">
          <cell r="A406" t="str">
            <v xml:space="preserve"> 9/30/77</v>
          </cell>
          <cell r="C406">
            <v>5.98</v>
          </cell>
          <cell r="D406">
            <v>6.14</v>
          </cell>
          <cell r="E406">
            <v>6.45</v>
          </cell>
          <cell r="F406">
            <v>6.57</v>
          </cell>
          <cell r="G406">
            <v>6.63</v>
          </cell>
          <cell r="H406">
            <v>6.74</v>
          </cell>
          <cell r="I406">
            <v>6.79</v>
          </cell>
          <cell r="J406">
            <v>6.92</v>
          </cell>
          <cell r="K406">
            <v>6.99</v>
          </cell>
          <cell r="L406">
            <v>7.1</v>
          </cell>
          <cell r="M406">
            <v>7.24</v>
          </cell>
          <cell r="N406">
            <v>7.47</v>
          </cell>
          <cell r="O406">
            <v>7.72</v>
          </cell>
          <cell r="P406">
            <v>7.86</v>
          </cell>
          <cell r="Q406">
            <v>8</v>
          </cell>
        </row>
        <row r="407">
          <cell r="A407" t="str">
            <v>10/31/77</v>
          </cell>
          <cell r="C407">
            <v>6.1</v>
          </cell>
          <cell r="D407">
            <v>6.41</v>
          </cell>
          <cell r="E407">
            <v>6.78</v>
          </cell>
          <cell r="F407">
            <v>6.92</v>
          </cell>
          <cell r="G407">
            <v>6.99</v>
          </cell>
          <cell r="H407">
            <v>7.09</v>
          </cell>
          <cell r="I407">
            <v>7.15</v>
          </cell>
          <cell r="J407">
            <v>7.31</v>
          </cell>
          <cell r="K407">
            <v>7.39</v>
          </cell>
          <cell r="L407">
            <v>7.44</v>
          </cell>
          <cell r="M407">
            <v>7.5</v>
          </cell>
          <cell r="N407">
            <v>7.63</v>
          </cell>
          <cell r="O407">
            <v>7.77</v>
          </cell>
          <cell r="P407">
            <v>7.93</v>
          </cell>
          <cell r="Q407">
            <v>8.1</v>
          </cell>
        </row>
        <row r="408">
          <cell r="A408" t="str">
            <v>11/30/77</v>
          </cell>
          <cell r="C408">
            <v>5.69</v>
          </cell>
          <cell r="D408">
            <v>6.25</v>
          </cell>
          <cell r="E408">
            <v>6.64</v>
          </cell>
          <cell r="F408">
            <v>6.8</v>
          </cell>
          <cell r="G408">
            <v>6.88</v>
          </cell>
          <cell r="H408">
            <v>7.02</v>
          </cell>
          <cell r="I408">
            <v>7.08</v>
          </cell>
          <cell r="J408">
            <v>7.22</v>
          </cell>
          <cell r="K408">
            <v>7.29</v>
          </cell>
          <cell r="L408">
            <v>7.36</v>
          </cell>
          <cell r="M408">
            <v>7.45</v>
          </cell>
          <cell r="N408">
            <v>7.6</v>
          </cell>
          <cell r="O408">
            <v>7.77</v>
          </cell>
          <cell r="P408">
            <v>7.93</v>
          </cell>
          <cell r="Q408">
            <v>8.11</v>
          </cell>
        </row>
        <row r="409">
          <cell r="A409" t="str">
            <v>12/30/77</v>
          </cell>
          <cell r="C409">
            <v>5.61</v>
          </cell>
          <cell r="D409">
            <v>6.36</v>
          </cell>
          <cell r="E409">
            <v>6.73</v>
          </cell>
          <cell r="F409">
            <v>6.9</v>
          </cell>
          <cell r="G409">
            <v>6.99</v>
          </cell>
          <cell r="H409">
            <v>7.14</v>
          </cell>
          <cell r="I409">
            <v>7.21</v>
          </cell>
          <cell r="J409">
            <v>7.44</v>
          </cell>
          <cell r="K409">
            <v>7.55</v>
          </cell>
          <cell r="L409">
            <v>7.63</v>
          </cell>
          <cell r="M409">
            <v>7.73</v>
          </cell>
          <cell r="N409">
            <v>7.87</v>
          </cell>
          <cell r="O409">
            <v>8.02</v>
          </cell>
          <cell r="P409">
            <v>8.16</v>
          </cell>
          <cell r="Q409">
            <v>8.32</v>
          </cell>
        </row>
        <row r="410">
          <cell r="A410" t="str">
            <v xml:space="preserve"> 1/31/78</v>
          </cell>
          <cell r="C410">
            <v>6.09</v>
          </cell>
          <cell r="D410">
            <v>6.63</v>
          </cell>
          <cell r="E410">
            <v>6.96</v>
          </cell>
          <cell r="F410">
            <v>7.16</v>
          </cell>
          <cell r="G410">
            <v>7.25</v>
          </cell>
          <cell r="H410">
            <v>7.42</v>
          </cell>
          <cell r="I410">
            <v>7.5</v>
          </cell>
          <cell r="J410">
            <v>7.66</v>
          </cell>
          <cell r="K410">
            <v>7.74</v>
          </cell>
          <cell r="L410">
            <v>7.81</v>
          </cell>
          <cell r="M410">
            <v>7.88</v>
          </cell>
          <cell r="N410">
            <v>8.0299999999999994</v>
          </cell>
          <cell r="O410">
            <v>8.19</v>
          </cell>
          <cell r="P410">
            <v>8.3000000000000007</v>
          </cell>
          <cell r="Q410">
            <v>8.43</v>
          </cell>
        </row>
        <row r="411">
          <cell r="A411" t="str">
            <v xml:space="preserve"> 2/28/78</v>
          </cell>
          <cell r="C411">
            <v>6.15</v>
          </cell>
          <cell r="D411">
            <v>6.61</v>
          </cell>
          <cell r="E411">
            <v>6.99</v>
          </cell>
          <cell r="F411">
            <v>7.19</v>
          </cell>
          <cell r="G411">
            <v>7.29</v>
          </cell>
          <cell r="H411">
            <v>7.48</v>
          </cell>
          <cell r="I411">
            <v>7.57</v>
          </cell>
          <cell r="J411">
            <v>7.76</v>
          </cell>
          <cell r="K411">
            <v>7.85</v>
          </cell>
          <cell r="L411">
            <v>7.9</v>
          </cell>
          <cell r="M411">
            <v>7.96</v>
          </cell>
          <cell r="N411">
            <v>8.1</v>
          </cell>
          <cell r="O411">
            <v>8.26</v>
          </cell>
          <cell r="P411">
            <v>8.33</v>
          </cell>
          <cell r="Q411">
            <v>8.41</v>
          </cell>
        </row>
        <row r="412">
          <cell r="A412" t="str">
            <v xml:space="preserve"> 3/31/78</v>
          </cell>
          <cell r="C412">
            <v>6.68</v>
          </cell>
          <cell r="D412">
            <v>6.69</v>
          </cell>
          <cell r="E412">
            <v>7.03</v>
          </cell>
          <cell r="F412">
            <v>7.32</v>
          </cell>
          <cell r="G412">
            <v>7.47</v>
          </cell>
          <cell r="H412">
            <v>7.62</v>
          </cell>
          <cell r="I412">
            <v>7.7</v>
          </cell>
          <cell r="J412">
            <v>7.84</v>
          </cell>
          <cell r="K412">
            <v>7.92</v>
          </cell>
          <cell r="L412">
            <v>7.99</v>
          </cell>
          <cell r="M412">
            <v>8.08</v>
          </cell>
          <cell r="N412">
            <v>8.19</v>
          </cell>
          <cell r="O412">
            <v>8.31</v>
          </cell>
          <cell r="P412">
            <v>8.3800000000000008</v>
          </cell>
          <cell r="Q412">
            <v>8.44</v>
          </cell>
        </row>
        <row r="413">
          <cell r="A413" t="str">
            <v xml:space="preserve"> 4/28/78</v>
          </cell>
          <cell r="C413">
            <v>6.3</v>
          </cell>
          <cell r="D413">
            <v>6.57</v>
          </cell>
          <cell r="E413">
            <v>7.17</v>
          </cell>
          <cell r="F413">
            <v>7.5</v>
          </cell>
          <cell r="G413">
            <v>7.68</v>
          </cell>
          <cell r="H413">
            <v>7.87</v>
          </cell>
          <cell r="I413">
            <v>7.97</v>
          </cell>
          <cell r="J413">
            <v>8.01</v>
          </cell>
          <cell r="K413">
            <v>8.0299999999999994</v>
          </cell>
          <cell r="L413">
            <v>8.1</v>
          </cell>
          <cell r="M413">
            <v>8.18</v>
          </cell>
          <cell r="N413">
            <v>8.31</v>
          </cell>
          <cell r="O413">
            <v>8.4499999999999993</v>
          </cell>
          <cell r="P413">
            <v>8.49</v>
          </cell>
          <cell r="Q413">
            <v>8.5299999999999994</v>
          </cell>
        </row>
        <row r="414">
          <cell r="A414" t="str">
            <v xml:space="preserve"> 5/31/78</v>
          </cell>
          <cell r="C414">
            <v>6.53</v>
          </cell>
          <cell r="D414">
            <v>6.83</v>
          </cell>
          <cell r="E414">
            <v>7.44</v>
          </cell>
          <cell r="F414">
            <v>7.81</v>
          </cell>
          <cell r="G414">
            <v>8</v>
          </cell>
          <cell r="H414">
            <v>8.1300000000000008</v>
          </cell>
          <cell r="I414">
            <v>8.19</v>
          </cell>
          <cell r="J414">
            <v>8.24</v>
          </cell>
          <cell r="K414">
            <v>8.26</v>
          </cell>
          <cell r="L414">
            <v>8.31</v>
          </cell>
          <cell r="M414">
            <v>8.3699999999999992</v>
          </cell>
          <cell r="N414">
            <v>8.4700000000000006</v>
          </cell>
          <cell r="O414">
            <v>8.59</v>
          </cell>
          <cell r="P414">
            <v>8.58</v>
          </cell>
          <cell r="Q414">
            <v>8.5500000000000007</v>
          </cell>
        </row>
        <row r="415">
          <cell r="A415" t="str">
            <v xml:space="preserve"> 6/30/78</v>
          </cell>
          <cell r="C415">
            <v>6.67</v>
          </cell>
          <cell r="D415">
            <v>7.32</v>
          </cell>
          <cell r="E415">
            <v>7.8</v>
          </cell>
          <cell r="F415">
            <v>8.2100000000000009</v>
          </cell>
          <cell r="G415">
            <v>8.42</v>
          </cell>
          <cell r="H415">
            <v>8.52</v>
          </cell>
          <cell r="I415">
            <v>8.57</v>
          </cell>
          <cell r="J415">
            <v>8.5500000000000007</v>
          </cell>
          <cell r="K415">
            <v>8.5399999999999991</v>
          </cell>
          <cell r="L415">
            <v>8.56</v>
          </cell>
          <cell r="M415">
            <v>8.58</v>
          </cell>
          <cell r="N415">
            <v>8.6300000000000008</v>
          </cell>
          <cell r="O415">
            <v>8.67</v>
          </cell>
          <cell r="P415">
            <v>8.61</v>
          </cell>
          <cell r="Q415">
            <v>8.52</v>
          </cell>
        </row>
        <row r="416">
          <cell r="A416" t="str">
            <v xml:space="preserve"> 7/31/78</v>
          </cell>
          <cell r="C416">
            <v>6.61</v>
          </cell>
          <cell r="D416">
            <v>7.08</v>
          </cell>
          <cell r="E416">
            <v>7.68</v>
          </cell>
          <cell r="F416">
            <v>8.15</v>
          </cell>
          <cell r="G416">
            <v>8.39</v>
          </cell>
          <cell r="H416">
            <v>8.4700000000000006</v>
          </cell>
          <cell r="I416">
            <v>8.51</v>
          </cell>
          <cell r="J416">
            <v>8.48</v>
          </cell>
          <cell r="K416">
            <v>8.4700000000000006</v>
          </cell>
          <cell r="L416">
            <v>8.49</v>
          </cell>
          <cell r="M416">
            <v>8.51</v>
          </cell>
          <cell r="N416">
            <v>8.56</v>
          </cell>
          <cell r="O416">
            <v>8.61</v>
          </cell>
          <cell r="P416">
            <v>8.6</v>
          </cell>
          <cell r="Q416">
            <v>8.58</v>
          </cell>
        </row>
        <row r="417">
          <cell r="A417" t="str">
            <v xml:space="preserve"> 8/31/78</v>
          </cell>
          <cell r="C417">
            <v>7.74</v>
          </cell>
          <cell r="D417">
            <v>7.8</v>
          </cell>
          <cell r="E417">
            <v>8.0299999999999994</v>
          </cell>
          <cell r="F417">
            <v>8.33</v>
          </cell>
          <cell r="G417">
            <v>8.48</v>
          </cell>
          <cell r="H417">
            <v>8.49</v>
          </cell>
          <cell r="I417">
            <v>8.5</v>
          </cell>
          <cell r="J417">
            <v>8.4600000000000009</v>
          </cell>
          <cell r="K417">
            <v>8.44</v>
          </cell>
          <cell r="L417">
            <v>8.43</v>
          </cell>
          <cell r="M417">
            <v>8.42</v>
          </cell>
          <cell r="N417">
            <v>8.44</v>
          </cell>
          <cell r="O417">
            <v>8.4600000000000009</v>
          </cell>
          <cell r="P417">
            <v>8.4499999999999993</v>
          </cell>
          <cell r="Q417">
            <v>8.43</v>
          </cell>
        </row>
        <row r="418">
          <cell r="A418" t="str">
            <v xml:space="preserve"> 9/29/78</v>
          </cell>
          <cell r="C418">
            <v>8.0500000000000007</v>
          </cell>
          <cell r="D418">
            <v>8.4499999999999993</v>
          </cell>
          <cell r="E418">
            <v>8.7799999999999994</v>
          </cell>
          <cell r="F418">
            <v>8.86</v>
          </cell>
          <cell r="G418">
            <v>8.9</v>
          </cell>
          <cell r="H418">
            <v>8.73</v>
          </cell>
          <cell r="I418">
            <v>8.65</v>
          </cell>
          <cell r="J418">
            <v>8.5299999999999994</v>
          </cell>
          <cell r="K418">
            <v>8.4700000000000006</v>
          </cell>
          <cell r="L418">
            <v>8.48</v>
          </cell>
          <cell r="M418">
            <v>8.49</v>
          </cell>
          <cell r="N418">
            <v>8.5500000000000007</v>
          </cell>
          <cell r="O418">
            <v>8.6199999999999992</v>
          </cell>
          <cell r="P418">
            <v>8.58</v>
          </cell>
          <cell r="Q418">
            <v>8.52</v>
          </cell>
        </row>
        <row r="419">
          <cell r="A419" t="str">
            <v>10/31/78</v>
          </cell>
          <cell r="C419">
            <v>8.9499999999999993</v>
          </cell>
          <cell r="D419">
            <v>8.9700000000000006</v>
          </cell>
          <cell r="E419">
            <v>9.64</v>
          </cell>
          <cell r="F419">
            <v>9.75</v>
          </cell>
          <cell r="G419">
            <v>9.8000000000000007</v>
          </cell>
          <cell r="H419">
            <v>9.5</v>
          </cell>
          <cell r="I419">
            <v>9.34</v>
          </cell>
          <cell r="J419">
            <v>9.1</v>
          </cell>
          <cell r="K419">
            <v>8.98</v>
          </cell>
          <cell r="L419">
            <v>8.93</v>
          </cell>
          <cell r="M419">
            <v>8.8699999999999992</v>
          </cell>
          <cell r="N419">
            <v>8.83</v>
          </cell>
          <cell r="O419">
            <v>8.81</v>
          </cell>
          <cell r="P419">
            <v>8.77</v>
          </cell>
          <cell r="Q419">
            <v>8.74</v>
          </cell>
        </row>
        <row r="420">
          <cell r="A420" t="str">
            <v>11/30/78</v>
          </cell>
          <cell r="C420">
            <v>9.08</v>
          </cell>
          <cell r="D420">
            <v>9.4</v>
          </cell>
          <cell r="E420">
            <v>9.8000000000000007</v>
          </cell>
          <cell r="F420">
            <v>10.039999999999999</v>
          </cell>
          <cell r="G420">
            <v>10.15</v>
          </cell>
          <cell r="H420">
            <v>9.83</v>
          </cell>
          <cell r="I420">
            <v>9.67</v>
          </cell>
          <cell r="J420">
            <v>9.19</v>
          </cell>
          <cell r="K420">
            <v>8.9499999999999993</v>
          </cell>
          <cell r="L420">
            <v>8.89</v>
          </cell>
          <cell r="M420">
            <v>8.83</v>
          </cell>
          <cell r="N420">
            <v>8.81</v>
          </cell>
          <cell r="O420">
            <v>8.81</v>
          </cell>
          <cell r="P420">
            <v>8.6999999999999993</v>
          </cell>
          <cell r="Q420">
            <v>8.56</v>
          </cell>
        </row>
        <row r="421">
          <cell r="A421" t="str">
            <v>12/29/78</v>
          </cell>
          <cell r="C421">
            <v>8.93</v>
          </cell>
          <cell r="D421">
            <v>9.7100000000000009</v>
          </cell>
          <cell r="E421">
            <v>10.210000000000001</v>
          </cell>
          <cell r="F421">
            <v>10.37</v>
          </cell>
          <cell r="G421">
            <v>10.45</v>
          </cell>
          <cell r="H421">
            <v>9.93</v>
          </cell>
          <cell r="I421">
            <v>9.67</v>
          </cell>
          <cell r="J421">
            <v>9.19</v>
          </cell>
          <cell r="K421">
            <v>8.9600000000000009</v>
          </cell>
          <cell r="L421">
            <v>8.9</v>
          </cell>
          <cell r="M421">
            <v>8.83</v>
          </cell>
          <cell r="N421">
            <v>8.81</v>
          </cell>
          <cell r="O421">
            <v>8.8000000000000007</v>
          </cell>
          <cell r="P421">
            <v>8.6999999999999993</v>
          </cell>
          <cell r="Q421">
            <v>8.56</v>
          </cell>
        </row>
        <row r="422">
          <cell r="A422" t="str">
            <v xml:space="preserve"> 1/31/79</v>
          </cell>
          <cell r="C422">
            <v>9.75</v>
          </cell>
          <cell r="D422">
            <v>9.7200000000000006</v>
          </cell>
          <cell r="E422">
            <v>9.9600000000000009</v>
          </cell>
          <cell r="F422">
            <v>10.09</v>
          </cell>
          <cell r="G422">
            <v>10.15</v>
          </cell>
          <cell r="H422">
            <v>9.92</v>
          </cell>
          <cell r="I422">
            <v>9.81</v>
          </cell>
          <cell r="J422">
            <v>9.25</v>
          </cell>
          <cell r="K422">
            <v>8.9700000000000006</v>
          </cell>
          <cell r="L422">
            <v>8.98</v>
          </cell>
          <cell r="M422">
            <v>8.99</v>
          </cell>
          <cell r="N422">
            <v>8.94</v>
          </cell>
          <cell r="O422">
            <v>8.86</v>
          </cell>
          <cell r="P422">
            <v>8.74</v>
          </cell>
          <cell r="Q422">
            <v>8.6</v>
          </cell>
        </row>
        <row r="423">
          <cell r="A423" t="str">
            <v xml:space="preserve"> 2/28/79</v>
          </cell>
          <cell r="C423">
            <v>9.65</v>
          </cell>
          <cell r="D423">
            <v>9.8800000000000008</v>
          </cell>
          <cell r="E423">
            <v>10.1</v>
          </cell>
          <cell r="F423">
            <v>10.24</v>
          </cell>
          <cell r="G423">
            <v>10.31</v>
          </cell>
          <cell r="H423">
            <v>10.1</v>
          </cell>
          <cell r="I423">
            <v>10</v>
          </cell>
          <cell r="J423">
            <v>9.52</v>
          </cell>
          <cell r="K423">
            <v>9.2799999999999994</v>
          </cell>
          <cell r="L423">
            <v>9.24</v>
          </cell>
          <cell r="M423">
            <v>9.19</v>
          </cell>
          <cell r="N423">
            <v>9.1</v>
          </cell>
          <cell r="O423">
            <v>9.01</v>
          </cell>
          <cell r="P423">
            <v>8.93</v>
          </cell>
          <cell r="Q423">
            <v>8.85</v>
          </cell>
        </row>
        <row r="424">
          <cell r="A424" t="str">
            <v xml:space="preserve"> 3/30/79</v>
          </cell>
          <cell r="C424">
            <v>9.8000000000000007</v>
          </cell>
          <cell r="D424">
            <v>10.01</v>
          </cell>
          <cell r="E424">
            <v>10.02</v>
          </cell>
          <cell r="F424">
            <v>9.9600000000000009</v>
          </cell>
          <cell r="G424">
            <v>9.93</v>
          </cell>
          <cell r="H424">
            <v>9.9</v>
          </cell>
          <cell r="I424">
            <v>9.8800000000000008</v>
          </cell>
          <cell r="J424">
            <v>9.4700000000000006</v>
          </cell>
          <cell r="K424">
            <v>9.27</v>
          </cell>
          <cell r="L424">
            <v>9.19</v>
          </cell>
          <cell r="M424">
            <v>9.11</v>
          </cell>
          <cell r="N424">
            <v>9.0500000000000007</v>
          </cell>
          <cell r="O424">
            <v>9</v>
          </cell>
          <cell r="P424">
            <v>8.8800000000000008</v>
          </cell>
          <cell r="Q424">
            <v>8.73</v>
          </cell>
        </row>
        <row r="425">
          <cell r="A425" t="str">
            <v xml:space="preserve"> 4/30/79</v>
          </cell>
          <cell r="C425">
            <v>9.7899999999999991</v>
          </cell>
          <cell r="D425">
            <v>10.039999999999999</v>
          </cell>
          <cell r="E425">
            <v>10.130000000000001</v>
          </cell>
          <cell r="F425">
            <v>10.130000000000001</v>
          </cell>
          <cell r="G425">
            <v>10.119999999999999</v>
          </cell>
          <cell r="H425">
            <v>10.039999999999999</v>
          </cell>
          <cell r="I425">
            <v>10</v>
          </cell>
          <cell r="J425">
            <v>9.59</v>
          </cell>
          <cell r="K425">
            <v>9.3800000000000008</v>
          </cell>
          <cell r="L425">
            <v>9.34</v>
          </cell>
          <cell r="M425">
            <v>9.2899999999999991</v>
          </cell>
          <cell r="N425">
            <v>9.26</v>
          </cell>
          <cell r="O425">
            <v>9.24</v>
          </cell>
          <cell r="P425">
            <v>9.11</v>
          </cell>
          <cell r="Q425">
            <v>8.94</v>
          </cell>
        </row>
        <row r="426">
          <cell r="A426" t="str">
            <v xml:space="preserve"> 5/31/79</v>
          </cell>
          <cell r="C426">
            <v>9.94</v>
          </cell>
          <cell r="D426">
            <v>10.050000000000001</v>
          </cell>
          <cell r="E426">
            <v>10.029999999999999</v>
          </cell>
          <cell r="F426">
            <v>9.9700000000000006</v>
          </cell>
          <cell r="G426">
            <v>9.9499999999999993</v>
          </cell>
          <cell r="H426">
            <v>9.75</v>
          </cell>
          <cell r="I426">
            <v>9.64</v>
          </cell>
          <cell r="J426">
            <v>9.2100000000000009</v>
          </cell>
          <cell r="K426">
            <v>8.99</v>
          </cell>
          <cell r="L426">
            <v>8.99</v>
          </cell>
          <cell r="M426">
            <v>8.98</v>
          </cell>
          <cell r="N426">
            <v>9.0399999999999991</v>
          </cell>
          <cell r="O426">
            <v>9.1199999999999992</v>
          </cell>
          <cell r="P426">
            <v>9.01</v>
          </cell>
          <cell r="Q426">
            <v>8.8699999999999992</v>
          </cell>
        </row>
        <row r="427">
          <cell r="A427" t="str">
            <v xml:space="preserve"> 6/29/79</v>
          </cell>
          <cell r="C427">
            <v>9.0500000000000007</v>
          </cell>
          <cell r="D427">
            <v>9.39</v>
          </cell>
          <cell r="E427">
            <v>9.4499999999999993</v>
          </cell>
          <cell r="F427">
            <v>9.33</v>
          </cell>
          <cell r="G427">
            <v>9.27</v>
          </cell>
          <cell r="H427">
            <v>9.02</v>
          </cell>
          <cell r="I427">
            <v>8.9</v>
          </cell>
          <cell r="J427">
            <v>8.7200000000000006</v>
          </cell>
          <cell r="K427">
            <v>8.64</v>
          </cell>
          <cell r="L427">
            <v>8.66</v>
          </cell>
          <cell r="M427">
            <v>8.69</v>
          </cell>
          <cell r="N427">
            <v>8.7799999999999994</v>
          </cell>
          <cell r="O427">
            <v>8.8699999999999992</v>
          </cell>
          <cell r="P427">
            <v>8.75</v>
          </cell>
          <cell r="Q427">
            <v>8.58</v>
          </cell>
        </row>
        <row r="428">
          <cell r="A428" t="str">
            <v xml:space="preserve"> 7/31/79</v>
          </cell>
          <cell r="C428">
            <v>9.27</v>
          </cell>
          <cell r="D428">
            <v>9.59</v>
          </cell>
          <cell r="E428">
            <v>9.89</v>
          </cell>
          <cell r="F428">
            <v>9.8000000000000007</v>
          </cell>
          <cell r="G428">
            <v>9.75</v>
          </cell>
          <cell r="H428">
            <v>9.4600000000000009</v>
          </cell>
          <cell r="I428">
            <v>9.31</v>
          </cell>
          <cell r="J428">
            <v>9.07</v>
          </cell>
          <cell r="K428">
            <v>8.9499999999999993</v>
          </cell>
          <cell r="L428">
            <v>8.9600000000000009</v>
          </cell>
          <cell r="M428">
            <v>8.9700000000000006</v>
          </cell>
          <cell r="N428">
            <v>8.99</v>
          </cell>
          <cell r="O428">
            <v>9.02</v>
          </cell>
          <cell r="P428">
            <v>8.85</v>
          </cell>
          <cell r="Q428">
            <v>8.61</v>
          </cell>
        </row>
        <row r="429">
          <cell r="A429" t="str">
            <v xml:space="preserve"> 8/31/79</v>
          </cell>
          <cell r="C429">
            <v>10.130000000000001</v>
          </cell>
          <cell r="D429">
            <v>10.27</v>
          </cell>
          <cell r="E429">
            <v>10.36</v>
          </cell>
          <cell r="F429">
            <v>10.45</v>
          </cell>
          <cell r="G429">
            <v>10.49</v>
          </cell>
          <cell r="H429">
            <v>10.07</v>
          </cell>
          <cell r="I429">
            <v>9.86</v>
          </cell>
          <cell r="J429">
            <v>9.57</v>
          </cell>
          <cell r="K429">
            <v>9.43</v>
          </cell>
          <cell r="L429">
            <v>9.34</v>
          </cell>
          <cell r="M429">
            <v>9.25</v>
          </cell>
          <cell r="N429">
            <v>9.1300000000000008</v>
          </cell>
          <cell r="O429">
            <v>9.01</v>
          </cell>
          <cell r="P429">
            <v>8.81</v>
          </cell>
          <cell r="Q429">
            <v>8.58</v>
          </cell>
        </row>
        <row r="430">
          <cell r="A430" t="str">
            <v xml:space="preserve"> 9/28/79</v>
          </cell>
          <cell r="C430">
            <v>10.28</v>
          </cell>
          <cell r="D430">
            <v>10.63</v>
          </cell>
          <cell r="E430">
            <v>10.86</v>
          </cell>
          <cell r="F430">
            <v>10.93</v>
          </cell>
          <cell r="G430">
            <v>10.96</v>
          </cell>
          <cell r="H430">
            <v>10.48</v>
          </cell>
          <cell r="I430">
            <v>10.24</v>
          </cell>
          <cell r="J430">
            <v>9.83</v>
          </cell>
          <cell r="K430">
            <v>9.6300000000000008</v>
          </cell>
          <cell r="L430">
            <v>9.5299999999999994</v>
          </cell>
          <cell r="M430">
            <v>9.42</v>
          </cell>
          <cell r="N430">
            <v>9.3699999999999992</v>
          </cell>
          <cell r="O430">
            <v>9.35</v>
          </cell>
          <cell r="P430">
            <v>9.0399999999999991</v>
          </cell>
          <cell r="Q430">
            <v>8.64</v>
          </cell>
        </row>
        <row r="431">
          <cell r="A431" t="str">
            <v>10/31/79</v>
          </cell>
          <cell r="C431">
            <v>11.85</v>
          </cell>
          <cell r="D431">
            <v>12.87</v>
          </cell>
          <cell r="E431">
            <v>13.13</v>
          </cell>
          <cell r="F431">
            <v>13.01</v>
          </cell>
          <cell r="G431">
            <v>12.95</v>
          </cell>
          <cell r="H431">
            <v>12.45</v>
          </cell>
          <cell r="I431">
            <v>12.19</v>
          </cell>
          <cell r="J431">
            <v>11.59</v>
          </cell>
          <cell r="K431">
            <v>11.28</v>
          </cell>
          <cell r="L431">
            <v>11.09</v>
          </cell>
          <cell r="M431">
            <v>10.87</v>
          </cell>
          <cell r="N431">
            <v>10.57</v>
          </cell>
          <cell r="O431">
            <v>10.25</v>
          </cell>
          <cell r="P431">
            <v>9.7899999999999991</v>
          </cell>
          <cell r="Q431">
            <v>9.25</v>
          </cell>
        </row>
        <row r="432">
          <cell r="A432" t="str">
            <v>11/30/79</v>
          </cell>
          <cell r="C432">
            <v>10.71</v>
          </cell>
          <cell r="D432">
            <v>12.22</v>
          </cell>
          <cell r="E432">
            <v>12.17</v>
          </cell>
          <cell r="F432">
            <v>11.76</v>
          </cell>
          <cell r="G432">
            <v>11.55</v>
          </cell>
          <cell r="H432">
            <v>11.38</v>
          </cell>
          <cell r="I432">
            <v>11.29</v>
          </cell>
          <cell r="J432">
            <v>10.64</v>
          </cell>
          <cell r="K432">
            <v>10.31</v>
          </cell>
          <cell r="L432">
            <v>10.37</v>
          </cell>
          <cell r="M432">
            <v>10.44</v>
          </cell>
          <cell r="N432">
            <v>10.31</v>
          </cell>
          <cell r="O432">
            <v>10.11</v>
          </cell>
          <cell r="P432">
            <v>9.66</v>
          </cell>
          <cell r="Q432">
            <v>9.11</v>
          </cell>
        </row>
        <row r="433">
          <cell r="A433" t="str">
            <v>12/31/79</v>
          </cell>
          <cell r="C433">
            <v>9.99</v>
          </cell>
          <cell r="D433">
            <v>12.58</v>
          </cell>
          <cell r="E433">
            <v>12.66</v>
          </cell>
          <cell r="F433">
            <v>12.09</v>
          </cell>
          <cell r="G433">
            <v>11.81</v>
          </cell>
          <cell r="H433">
            <v>11.5</v>
          </cell>
          <cell r="I433">
            <v>11.35</v>
          </cell>
          <cell r="J433">
            <v>10.7</v>
          </cell>
          <cell r="K433">
            <v>10.37</v>
          </cell>
          <cell r="L433">
            <v>10.36</v>
          </cell>
          <cell r="M433">
            <v>10.35</v>
          </cell>
          <cell r="N433">
            <v>10.32</v>
          </cell>
          <cell r="O433">
            <v>10.28</v>
          </cell>
          <cell r="P433">
            <v>9.92</v>
          </cell>
          <cell r="Q433">
            <v>9.4600000000000009</v>
          </cell>
        </row>
        <row r="434">
          <cell r="A434" t="str">
            <v xml:space="preserve"> 1/31/80</v>
          </cell>
          <cell r="C434">
            <v>11.89</v>
          </cell>
          <cell r="D434">
            <v>12.93</v>
          </cell>
          <cell r="E434">
            <v>12.89</v>
          </cell>
          <cell r="F434">
            <v>12.5</v>
          </cell>
          <cell r="G434">
            <v>12.3</v>
          </cell>
          <cell r="H434">
            <v>12.07</v>
          </cell>
          <cell r="I434">
            <v>11.95</v>
          </cell>
          <cell r="J434">
            <v>11.34</v>
          </cell>
          <cell r="K434">
            <v>11.03</v>
          </cell>
          <cell r="L434">
            <v>11.1</v>
          </cell>
          <cell r="M434">
            <v>11.17</v>
          </cell>
          <cell r="N434">
            <v>11.16</v>
          </cell>
          <cell r="O434">
            <v>11.12</v>
          </cell>
          <cell r="P434">
            <v>10.88</v>
          </cell>
          <cell r="Q434">
            <v>10.57</v>
          </cell>
        </row>
        <row r="435">
          <cell r="A435" t="str">
            <v xml:space="preserve"> 2/29/80</v>
          </cell>
          <cell r="C435">
            <v>13.95</v>
          </cell>
          <cell r="D435">
            <v>14.92</v>
          </cell>
          <cell r="E435">
            <v>15.05</v>
          </cell>
          <cell r="F435">
            <v>15.29</v>
          </cell>
          <cell r="G435">
            <v>15.42</v>
          </cell>
          <cell r="H435">
            <v>15.25</v>
          </cell>
          <cell r="I435">
            <v>15.16</v>
          </cell>
          <cell r="J435">
            <v>14.26</v>
          </cell>
          <cell r="K435">
            <v>13.82</v>
          </cell>
          <cell r="L435">
            <v>13.46</v>
          </cell>
          <cell r="M435">
            <v>13.06</v>
          </cell>
          <cell r="N435">
            <v>12.57</v>
          </cell>
          <cell r="O435">
            <v>12.09</v>
          </cell>
          <cell r="P435">
            <v>11.58</v>
          </cell>
          <cell r="Q435">
            <v>10.98</v>
          </cell>
        </row>
        <row r="436">
          <cell r="A436" t="str">
            <v xml:space="preserve"> 3/31/80</v>
          </cell>
          <cell r="C436">
            <v>15.9</v>
          </cell>
          <cell r="D436">
            <v>16.27</v>
          </cell>
          <cell r="E436">
            <v>16.27</v>
          </cell>
          <cell r="F436">
            <v>16.22</v>
          </cell>
          <cell r="G436">
            <v>16.190000000000001</v>
          </cell>
          <cell r="H436">
            <v>15.68</v>
          </cell>
          <cell r="I436">
            <v>15.42</v>
          </cell>
          <cell r="J436">
            <v>14.1</v>
          </cell>
          <cell r="K436">
            <v>13.45</v>
          </cell>
          <cell r="L436">
            <v>13.07</v>
          </cell>
          <cell r="M436">
            <v>12.64</v>
          </cell>
          <cell r="N436">
            <v>12.47</v>
          </cell>
          <cell r="O436">
            <v>12.42</v>
          </cell>
          <cell r="P436">
            <v>11.83</v>
          </cell>
          <cell r="Q436">
            <v>11.07</v>
          </cell>
        </row>
        <row r="437">
          <cell r="A437" t="str">
            <v xml:space="preserve"> 4/30/80</v>
          </cell>
          <cell r="C437">
            <v>9.9700000000000006</v>
          </cell>
          <cell r="D437">
            <v>11.51</v>
          </cell>
          <cell r="E437">
            <v>11.68</v>
          </cell>
          <cell r="F437">
            <v>11.75</v>
          </cell>
          <cell r="G437">
            <v>11.79</v>
          </cell>
          <cell r="H437">
            <v>11.56</v>
          </cell>
          <cell r="I437">
            <v>11.45</v>
          </cell>
          <cell r="J437">
            <v>10.77</v>
          </cell>
          <cell r="K437">
            <v>10.43</v>
          </cell>
          <cell r="L437">
            <v>10.55</v>
          </cell>
          <cell r="M437">
            <v>10.7</v>
          </cell>
          <cell r="N437">
            <v>10.8</v>
          </cell>
          <cell r="O437">
            <v>10.86</v>
          </cell>
          <cell r="P437">
            <v>10.64</v>
          </cell>
          <cell r="Q437">
            <v>10.33</v>
          </cell>
        </row>
        <row r="438">
          <cell r="A438" t="str">
            <v xml:space="preserve"> 5/30/80</v>
          </cell>
          <cell r="C438">
            <v>7.49</v>
          </cell>
          <cell r="D438">
            <v>8.2100000000000009</v>
          </cell>
          <cell r="E438">
            <v>8.3699999999999992</v>
          </cell>
          <cell r="F438">
            <v>8.52</v>
          </cell>
          <cell r="G438">
            <v>8.59</v>
          </cell>
          <cell r="H438">
            <v>8.8699999999999992</v>
          </cell>
          <cell r="I438">
            <v>9.01</v>
          </cell>
          <cell r="J438">
            <v>9.39</v>
          </cell>
          <cell r="K438">
            <v>9.58</v>
          </cell>
          <cell r="L438">
            <v>9.89</v>
          </cell>
          <cell r="M438">
            <v>10.26</v>
          </cell>
          <cell r="N438">
            <v>10.5</v>
          </cell>
          <cell r="O438">
            <v>10.67</v>
          </cell>
          <cell r="P438">
            <v>10.49</v>
          </cell>
          <cell r="Q438">
            <v>10.23</v>
          </cell>
        </row>
        <row r="439">
          <cell r="A439" t="str">
            <v xml:space="preserve"> 6/30/80</v>
          </cell>
          <cell r="C439">
            <v>6.45</v>
          </cell>
          <cell r="D439">
            <v>8.1999999999999993</v>
          </cell>
          <cell r="E439">
            <v>8.34</v>
          </cell>
          <cell r="F439">
            <v>8.5</v>
          </cell>
          <cell r="G439">
            <v>8.58</v>
          </cell>
          <cell r="H439">
            <v>8.91</v>
          </cell>
          <cell r="I439">
            <v>9.07</v>
          </cell>
          <cell r="J439">
            <v>9.42</v>
          </cell>
          <cell r="K439">
            <v>9.59</v>
          </cell>
          <cell r="L439">
            <v>9.76</v>
          </cell>
          <cell r="M439">
            <v>9.9600000000000009</v>
          </cell>
          <cell r="N439">
            <v>10.14</v>
          </cell>
          <cell r="O439">
            <v>10.3</v>
          </cell>
          <cell r="P439">
            <v>10.26</v>
          </cell>
          <cell r="Q439">
            <v>10.18</v>
          </cell>
        </row>
        <row r="440">
          <cell r="A440" t="str">
            <v xml:space="preserve"> 7/31/80</v>
          </cell>
          <cell r="C440">
            <v>7.62</v>
          </cell>
          <cell r="D440">
            <v>8.99</v>
          </cell>
          <cell r="E440">
            <v>9.0299999999999994</v>
          </cell>
          <cell r="F440">
            <v>8.99</v>
          </cell>
          <cell r="G440">
            <v>8.9700000000000006</v>
          </cell>
          <cell r="H440">
            <v>9.34</v>
          </cell>
          <cell r="I440">
            <v>9.52</v>
          </cell>
          <cell r="J440">
            <v>10.02</v>
          </cell>
          <cell r="K440">
            <v>10.27</v>
          </cell>
          <cell r="L440">
            <v>10.4</v>
          </cell>
          <cell r="M440">
            <v>10.55</v>
          </cell>
          <cell r="N440">
            <v>10.61</v>
          </cell>
          <cell r="O440">
            <v>10.63</v>
          </cell>
          <cell r="P440">
            <v>10.43</v>
          </cell>
          <cell r="Q440">
            <v>10.15</v>
          </cell>
        </row>
        <row r="441">
          <cell r="A441" t="str">
            <v xml:space="preserve"> 8/29/80</v>
          </cell>
          <cell r="C441">
            <v>9.3699999999999992</v>
          </cell>
          <cell r="D441">
            <v>10.4</v>
          </cell>
          <cell r="E441">
            <v>10.75</v>
          </cell>
          <cell r="F441">
            <v>10.87</v>
          </cell>
          <cell r="G441">
            <v>10.94</v>
          </cell>
          <cell r="H441">
            <v>11.37</v>
          </cell>
          <cell r="I441">
            <v>11.6</v>
          </cell>
          <cell r="J441">
            <v>11.56</v>
          </cell>
          <cell r="K441">
            <v>11.54</v>
          </cell>
          <cell r="L441">
            <v>11.46</v>
          </cell>
          <cell r="M441">
            <v>11.37</v>
          </cell>
          <cell r="N441">
            <v>11.58</v>
          </cell>
          <cell r="O441">
            <v>11.9</v>
          </cell>
          <cell r="P441">
            <v>11.34</v>
          </cell>
          <cell r="Q441">
            <v>10.54</v>
          </cell>
        </row>
        <row r="442">
          <cell r="A442" t="str">
            <v xml:space="preserve"> 9/30/80</v>
          </cell>
          <cell r="C442">
            <v>11.54</v>
          </cell>
          <cell r="D442">
            <v>11.78</v>
          </cell>
          <cell r="E442">
            <v>12.35</v>
          </cell>
          <cell r="F442">
            <v>12.43</v>
          </cell>
          <cell r="G442">
            <v>12.46</v>
          </cell>
          <cell r="H442">
            <v>12.49</v>
          </cell>
          <cell r="I442">
            <v>12.5</v>
          </cell>
          <cell r="J442">
            <v>12.23</v>
          </cell>
          <cell r="K442">
            <v>12.09</v>
          </cell>
          <cell r="L442">
            <v>12</v>
          </cell>
          <cell r="M442">
            <v>11.89</v>
          </cell>
          <cell r="N442">
            <v>11.97</v>
          </cell>
          <cell r="O442">
            <v>12.12</v>
          </cell>
          <cell r="P442">
            <v>11.7</v>
          </cell>
          <cell r="Q442">
            <v>11.13</v>
          </cell>
        </row>
        <row r="443">
          <cell r="A443" t="str">
            <v>10/30/80</v>
          </cell>
          <cell r="C443">
            <v>11.55</v>
          </cell>
          <cell r="D443">
            <v>13.6</v>
          </cell>
          <cell r="E443">
            <v>13.54</v>
          </cell>
          <cell r="F443">
            <v>13.46</v>
          </cell>
          <cell r="G443">
            <v>13.42</v>
          </cell>
          <cell r="H443">
            <v>13.22</v>
          </cell>
          <cell r="I443">
            <v>13.13</v>
          </cell>
          <cell r="J443">
            <v>13.04</v>
          </cell>
          <cell r="K443">
            <v>12.99</v>
          </cell>
          <cell r="L443">
            <v>12.78</v>
          </cell>
          <cell r="M443">
            <v>12.53</v>
          </cell>
          <cell r="N443">
            <v>12.44</v>
          </cell>
          <cell r="O443">
            <v>12.42</v>
          </cell>
          <cell r="P443">
            <v>12.02</v>
          </cell>
          <cell r="Q443">
            <v>11.49</v>
          </cell>
        </row>
        <row r="444">
          <cell r="A444" t="str">
            <v>11/28/80</v>
          </cell>
          <cell r="C444">
            <v>15.13</v>
          </cell>
          <cell r="D444">
            <v>15.73</v>
          </cell>
          <cell r="E444">
            <v>15.38</v>
          </cell>
          <cell r="F444">
            <v>14.94</v>
          </cell>
          <cell r="G444">
            <v>14.71</v>
          </cell>
          <cell r="H444">
            <v>14.22</v>
          </cell>
          <cell r="I444">
            <v>13.98</v>
          </cell>
          <cell r="J444">
            <v>13.32</v>
          </cell>
          <cell r="K444">
            <v>12.99</v>
          </cell>
          <cell r="L444">
            <v>12.9</v>
          </cell>
          <cell r="M444">
            <v>12.79</v>
          </cell>
          <cell r="N444">
            <v>12.56</v>
          </cell>
          <cell r="O444">
            <v>12.29</v>
          </cell>
          <cell r="P444">
            <v>11.68</v>
          </cell>
          <cell r="Q444">
            <v>10.93</v>
          </cell>
        </row>
        <row r="445">
          <cell r="A445" t="str">
            <v>12/31/80</v>
          </cell>
          <cell r="C445">
            <v>13.16</v>
          </cell>
          <cell r="D445">
            <v>15.38</v>
          </cell>
          <cell r="E445">
            <v>15.07</v>
          </cell>
          <cell r="F445">
            <v>14.09</v>
          </cell>
          <cell r="G445">
            <v>13.61</v>
          </cell>
          <cell r="H445">
            <v>13.17</v>
          </cell>
          <cell r="I445">
            <v>12.95</v>
          </cell>
          <cell r="J445">
            <v>12.79</v>
          </cell>
          <cell r="K445">
            <v>12.71</v>
          </cell>
          <cell r="L445">
            <v>12.5</v>
          </cell>
          <cell r="M445">
            <v>12.26</v>
          </cell>
          <cell r="N445">
            <v>12.18</v>
          </cell>
          <cell r="O445">
            <v>12.18</v>
          </cell>
          <cell r="P445">
            <v>11.55</v>
          </cell>
          <cell r="Q445">
            <v>10.75</v>
          </cell>
        </row>
        <row r="446">
          <cell r="A446" t="str">
            <v xml:space="preserve"> 1/30/81</v>
          </cell>
          <cell r="C446">
            <v>14.64</v>
          </cell>
          <cell r="D446">
            <v>15.85</v>
          </cell>
          <cell r="E446">
            <v>15.17</v>
          </cell>
          <cell r="F446">
            <v>14.59</v>
          </cell>
          <cell r="G446">
            <v>14.3</v>
          </cell>
          <cell r="H446">
            <v>13.72</v>
          </cell>
          <cell r="I446">
            <v>13.43</v>
          </cell>
          <cell r="J446">
            <v>12.99</v>
          </cell>
          <cell r="K446">
            <v>12.78</v>
          </cell>
          <cell r="L446">
            <v>12.67</v>
          </cell>
          <cell r="M446">
            <v>12.54</v>
          </cell>
          <cell r="N446">
            <v>12.46</v>
          </cell>
          <cell r="O446">
            <v>12.4</v>
          </cell>
          <cell r="P446">
            <v>11.74</v>
          </cell>
          <cell r="Q446">
            <v>10.91</v>
          </cell>
        </row>
        <row r="447">
          <cell r="A447" t="str">
            <v xml:space="preserve"> 2/27/81</v>
          </cell>
          <cell r="C447">
            <v>14.55</v>
          </cell>
          <cell r="D447">
            <v>15.2</v>
          </cell>
          <cell r="E447">
            <v>15.01</v>
          </cell>
          <cell r="F447">
            <v>14.55</v>
          </cell>
          <cell r="G447">
            <v>14.31</v>
          </cell>
          <cell r="H447">
            <v>14.05</v>
          </cell>
          <cell r="I447">
            <v>13.91</v>
          </cell>
          <cell r="J447">
            <v>13.91</v>
          </cell>
          <cell r="K447">
            <v>13.91</v>
          </cell>
          <cell r="L447">
            <v>13.69</v>
          </cell>
          <cell r="M447">
            <v>13.44</v>
          </cell>
          <cell r="N447">
            <v>13.17</v>
          </cell>
          <cell r="O447">
            <v>12.91</v>
          </cell>
          <cell r="P447">
            <v>12.36</v>
          </cell>
          <cell r="Q447">
            <v>11.68</v>
          </cell>
        </row>
        <row r="448">
          <cell r="A448" t="str">
            <v xml:space="preserve"> 3/31/81</v>
          </cell>
          <cell r="C448">
            <v>13.53</v>
          </cell>
          <cell r="D448">
            <v>13.29</v>
          </cell>
          <cell r="E448">
            <v>12.94</v>
          </cell>
          <cell r="F448">
            <v>13.11</v>
          </cell>
          <cell r="G448">
            <v>13.19</v>
          </cell>
          <cell r="H448">
            <v>13.37</v>
          </cell>
          <cell r="I448">
            <v>13.45</v>
          </cell>
          <cell r="J448">
            <v>13.39</v>
          </cell>
          <cell r="K448">
            <v>13.36</v>
          </cell>
          <cell r="L448">
            <v>13.28</v>
          </cell>
          <cell r="M448">
            <v>13.19</v>
          </cell>
          <cell r="N448">
            <v>12.93</v>
          </cell>
          <cell r="O448">
            <v>12.61</v>
          </cell>
          <cell r="P448">
            <v>12.04</v>
          </cell>
          <cell r="Q448">
            <v>11.37</v>
          </cell>
        </row>
        <row r="449">
          <cell r="A449" t="str">
            <v xml:space="preserve"> 4/30/81</v>
          </cell>
          <cell r="C449">
            <v>14.1</v>
          </cell>
          <cell r="D449">
            <v>15.84</v>
          </cell>
          <cell r="E449">
            <v>15.27</v>
          </cell>
          <cell r="F449">
            <v>15.17</v>
          </cell>
          <cell r="G449">
            <v>15.12</v>
          </cell>
          <cell r="H449">
            <v>14.91</v>
          </cell>
          <cell r="I449">
            <v>14.8</v>
          </cell>
          <cell r="J449">
            <v>14.62</v>
          </cell>
          <cell r="K449">
            <v>14.53</v>
          </cell>
          <cell r="L449">
            <v>14.33</v>
          </cell>
          <cell r="M449">
            <v>14.1</v>
          </cell>
          <cell r="N449">
            <v>13.79</v>
          </cell>
          <cell r="O449">
            <v>13.47</v>
          </cell>
          <cell r="P449">
            <v>12.86</v>
          </cell>
          <cell r="Q449">
            <v>12.12</v>
          </cell>
        </row>
        <row r="450">
          <cell r="A450" t="str">
            <v xml:space="preserve"> 5/29/81</v>
          </cell>
          <cell r="C450">
            <v>16.47</v>
          </cell>
          <cell r="D450">
            <v>16.61</v>
          </cell>
          <cell r="E450">
            <v>15.96</v>
          </cell>
          <cell r="F450">
            <v>15.44</v>
          </cell>
          <cell r="G450">
            <v>15.18</v>
          </cell>
          <cell r="H450">
            <v>15</v>
          </cell>
          <cell r="I450">
            <v>14.91</v>
          </cell>
          <cell r="J450">
            <v>14.3</v>
          </cell>
          <cell r="K450">
            <v>14</v>
          </cell>
          <cell r="L450">
            <v>13.72</v>
          </cell>
          <cell r="M450">
            <v>13.4</v>
          </cell>
          <cell r="N450">
            <v>13.2</v>
          </cell>
          <cell r="O450">
            <v>13.05</v>
          </cell>
          <cell r="P450">
            <v>12.33</v>
          </cell>
          <cell r="Q450">
            <v>11.43</v>
          </cell>
        </row>
        <row r="451">
          <cell r="A451" t="str">
            <v xml:space="preserve"> 6/30/81</v>
          </cell>
          <cell r="C451">
            <v>15.02</v>
          </cell>
          <cell r="D451">
            <v>15.51</v>
          </cell>
          <cell r="E451">
            <v>15.4</v>
          </cell>
          <cell r="F451">
            <v>15.17</v>
          </cell>
          <cell r="G451">
            <v>15.05</v>
          </cell>
          <cell r="H451">
            <v>14.96</v>
          </cell>
          <cell r="I451">
            <v>14.91</v>
          </cell>
          <cell r="J451">
            <v>14.32</v>
          </cell>
          <cell r="K451">
            <v>14.03</v>
          </cell>
          <cell r="L451">
            <v>13.85</v>
          </cell>
          <cell r="M451">
            <v>13.66</v>
          </cell>
          <cell r="N451">
            <v>13.38</v>
          </cell>
          <cell r="O451">
            <v>13.09</v>
          </cell>
          <cell r="P451">
            <v>12.33</v>
          </cell>
          <cell r="Q451">
            <v>11.42</v>
          </cell>
        </row>
        <row r="452">
          <cell r="A452" t="str">
            <v xml:space="preserve"> 7/31/81</v>
          </cell>
          <cell r="C452">
            <v>16.22</v>
          </cell>
          <cell r="D452">
            <v>16.29</v>
          </cell>
          <cell r="E452">
            <v>16.239999999999998</v>
          </cell>
          <cell r="F452">
            <v>16.29</v>
          </cell>
          <cell r="G452">
            <v>16.309999999999999</v>
          </cell>
          <cell r="H452">
            <v>16.100000000000001</v>
          </cell>
          <cell r="I452">
            <v>15.99</v>
          </cell>
          <cell r="J452">
            <v>15.62</v>
          </cell>
          <cell r="K452">
            <v>15.43</v>
          </cell>
          <cell r="L452">
            <v>15.07</v>
          </cell>
          <cell r="M452">
            <v>14.65</v>
          </cell>
          <cell r="N452">
            <v>14.22</v>
          </cell>
          <cell r="O452">
            <v>13.81</v>
          </cell>
          <cell r="P452">
            <v>12.96</v>
          </cell>
          <cell r="Q452">
            <v>11.92</v>
          </cell>
        </row>
        <row r="453">
          <cell r="A453" t="str">
            <v xml:space="preserve"> 8/31/81</v>
          </cell>
          <cell r="C453">
            <v>15.67</v>
          </cell>
          <cell r="D453">
            <v>16.73</v>
          </cell>
          <cell r="E453">
            <v>17.05</v>
          </cell>
          <cell r="F453">
            <v>17</v>
          </cell>
          <cell r="G453">
            <v>16.97</v>
          </cell>
          <cell r="H453">
            <v>16.899999999999999</v>
          </cell>
          <cell r="I453">
            <v>16.86</v>
          </cell>
          <cell r="J453">
            <v>16.32</v>
          </cell>
          <cell r="K453">
            <v>16.05</v>
          </cell>
          <cell r="L453">
            <v>15.78</v>
          </cell>
          <cell r="M453">
            <v>15.47</v>
          </cell>
          <cell r="N453">
            <v>14.94</v>
          </cell>
          <cell r="O453">
            <v>14.36</v>
          </cell>
          <cell r="P453">
            <v>13.76</v>
          </cell>
          <cell r="Q453">
            <v>13.08</v>
          </cell>
        </row>
        <row r="454">
          <cell r="A454" t="str">
            <v xml:space="preserve"> 9/30/81</v>
          </cell>
          <cell r="C454">
            <v>14.11</v>
          </cell>
          <cell r="D454">
            <v>15.05</v>
          </cell>
          <cell r="E454">
            <v>16.22</v>
          </cell>
          <cell r="F454">
            <v>16.43</v>
          </cell>
          <cell r="G454">
            <v>16.54</v>
          </cell>
          <cell r="H454">
            <v>16.75</v>
          </cell>
          <cell r="I454">
            <v>16.86</v>
          </cell>
          <cell r="J454">
            <v>16.54</v>
          </cell>
          <cell r="K454">
            <v>16.38</v>
          </cell>
          <cell r="L454">
            <v>16.059999999999999</v>
          </cell>
          <cell r="M454">
            <v>15.69</v>
          </cell>
          <cell r="N454">
            <v>15.48</v>
          </cell>
          <cell r="O454">
            <v>15.36</v>
          </cell>
          <cell r="P454">
            <v>14.25</v>
          </cell>
          <cell r="Q454">
            <v>12.83</v>
          </cell>
        </row>
        <row r="455">
          <cell r="A455" t="str">
            <v>10/30/81</v>
          </cell>
          <cell r="C455">
            <v>13.16</v>
          </cell>
          <cell r="D455">
            <v>13.6</v>
          </cell>
          <cell r="E455">
            <v>14.04</v>
          </cell>
          <cell r="F455">
            <v>14.23</v>
          </cell>
          <cell r="G455">
            <v>14.32</v>
          </cell>
          <cell r="H455">
            <v>14.58</v>
          </cell>
          <cell r="I455">
            <v>14.71</v>
          </cell>
          <cell r="J455">
            <v>14.74</v>
          </cell>
          <cell r="K455">
            <v>14.75</v>
          </cell>
          <cell r="L455">
            <v>14.67</v>
          </cell>
          <cell r="M455">
            <v>14.58</v>
          </cell>
          <cell r="N455">
            <v>14.54</v>
          </cell>
          <cell r="O455">
            <v>14.52</v>
          </cell>
          <cell r="P455">
            <v>13.81</v>
          </cell>
          <cell r="Q455">
            <v>12.9</v>
          </cell>
        </row>
        <row r="456">
          <cell r="A456" t="str">
            <v>11/30/81</v>
          </cell>
          <cell r="C456">
            <v>10.67</v>
          </cell>
          <cell r="D456">
            <v>11.33</v>
          </cell>
          <cell r="E456">
            <v>11.81</v>
          </cell>
          <cell r="F456">
            <v>12.12</v>
          </cell>
          <cell r="G456">
            <v>12.27</v>
          </cell>
          <cell r="H456">
            <v>12.67</v>
          </cell>
          <cell r="I456">
            <v>12.87</v>
          </cell>
          <cell r="J456">
            <v>13.03</v>
          </cell>
          <cell r="K456">
            <v>13.11</v>
          </cell>
          <cell r="L456">
            <v>13.2</v>
          </cell>
          <cell r="M456">
            <v>13.29</v>
          </cell>
          <cell r="N456">
            <v>13.24</v>
          </cell>
          <cell r="O456">
            <v>13.12</v>
          </cell>
          <cell r="P456">
            <v>12.78</v>
          </cell>
          <cell r="Q456">
            <v>12.37</v>
          </cell>
        </row>
        <row r="457">
          <cell r="A457" t="str">
            <v>12/31/81</v>
          </cell>
          <cell r="C457">
            <v>9.9499999999999993</v>
          </cell>
          <cell r="D457">
            <v>11.86</v>
          </cell>
          <cell r="E457">
            <v>12.93</v>
          </cell>
          <cell r="F457">
            <v>13.3</v>
          </cell>
          <cell r="G457">
            <v>13.48</v>
          </cell>
          <cell r="H457">
            <v>13.82</v>
          </cell>
          <cell r="I457">
            <v>13.99</v>
          </cell>
          <cell r="J457">
            <v>14.05</v>
          </cell>
          <cell r="K457">
            <v>14.08</v>
          </cell>
          <cell r="L457">
            <v>14.06</v>
          </cell>
          <cell r="M457">
            <v>14.04</v>
          </cell>
          <cell r="N457">
            <v>13.98</v>
          </cell>
          <cell r="O457">
            <v>13.89</v>
          </cell>
          <cell r="P457">
            <v>13.13</v>
          </cell>
          <cell r="Q457">
            <v>12.2</v>
          </cell>
        </row>
        <row r="458">
          <cell r="A458" t="str">
            <v xml:space="preserve"> 1/29/82</v>
          </cell>
          <cell r="C458">
            <v>12.39</v>
          </cell>
          <cell r="D458">
            <v>13.52</v>
          </cell>
          <cell r="E458">
            <v>13.68</v>
          </cell>
          <cell r="F458">
            <v>14</v>
          </cell>
          <cell r="G458">
            <v>14.17</v>
          </cell>
          <cell r="H458">
            <v>14.39</v>
          </cell>
          <cell r="I458">
            <v>14.49</v>
          </cell>
          <cell r="J458">
            <v>14.36</v>
          </cell>
          <cell r="K458">
            <v>14.3</v>
          </cell>
          <cell r="L458">
            <v>14.28</v>
          </cell>
          <cell r="M458">
            <v>14.26</v>
          </cell>
          <cell r="N458">
            <v>14.23</v>
          </cell>
          <cell r="O458">
            <v>14.18</v>
          </cell>
          <cell r="P458">
            <v>13.41</v>
          </cell>
          <cell r="Q458">
            <v>12.44</v>
          </cell>
        </row>
        <row r="459">
          <cell r="A459" t="str">
            <v xml:space="preserve"> 2/26/82</v>
          </cell>
          <cell r="C459">
            <v>12.46</v>
          </cell>
          <cell r="D459">
            <v>13.66</v>
          </cell>
          <cell r="E459">
            <v>14.03</v>
          </cell>
          <cell r="F459">
            <v>14.21</v>
          </cell>
          <cell r="G459">
            <v>14.3</v>
          </cell>
          <cell r="H459">
            <v>14.43</v>
          </cell>
          <cell r="I459">
            <v>14.49</v>
          </cell>
          <cell r="J459">
            <v>14.34</v>
          </cell>
          <cell r="K459">
            <v>14.27</v>
          </cell>
          <cell r="L459">
            <v>14.14</v>
          </cell>
          <cell r="M459">
            <v>14</v>
          </cell>
          <cell r="N459">
            <v>14.01</v>
          </cell>
          <cell r="O459">
            <v>14.1</v>
          </cell>
          <cell r="P459">
            <v>13.38</v>
          </cell>
          <cell r="Q459">
            <v>12.49</v>
          </cell>
        </row>
        <row r="460">
          <cell r="A460" t="str">
            <v xml:space="preserve"> 3/31/82</v>
          </cell>
          <cell r="C460">
            <v>13.98</v>
          </cell>
          <cell r="D460">
            <v>14.2</v>
          </cell>
          <cell r="E460">
            <v>14.24</v>
          </cell>
          <cell r="F460">
            <v>14.33</v>
          </cell>
          <cell r="G460">
            <v>14.38</v>
          </cell>
          <cell r="H460">
            <v>14.55</v>
          </cell>
          <cell r="I460">
            <v>14.63</v>
          </cell>
          <cell r="J460">
            <v>14.5</v>
          </cell>
          <cell r="K460">
            <v>14.43</v>
          </cell>
          <cell r="L460">
            <v>14.35</v>
          </cell>
          <cell r="M460">
            <v>14.27</v>
          </cell>
          <cell r="N460">
            <v>13.93</v>
          </cell>
          <cell r="O460">
            <v>13.52</v>
          </cell>
          <cell r="P460">
            <v>13.02</v>
          </cell>
          <cell r="Q460">
            <v>12.47</v>
          </cell>
        </row>
        <row r="461">
          <cell r="A461" t="str">
            <v xml:space="preserve"> 4/30/82</v>
          </cell>
          <cell r="C461">
            <v>12.85</v>
          </cell>
          <cell r="D461">
            <v>13.36</v>
          </cell>
          <cell r="E461">
            <v>13.37</v>
          </cell>
          <cell r="F461">
            <v>13.77</v>
          </cell>
          <cell r="G461">
            <v>13.98</v>
          </cell>
          <cell r="H461">
            <v>14.1</v>
          </cell>
          <cell r="I461">
            <v>14.16</v>
          </cell>
          <cell r="J461">
            <v>13.97</v>
          </cell>
          <cell r="K461">
            <v>13.87</v>
          </cell>
          <cell r="L461">
            <v>13.83</v>
          </cell>
          <cell r="M461">
            <v>13.79</v>
          </cell>
          <cell r="N461">
            <v>13.55</v>
          </cell>
          <cell r="O461">
            <v>13.26</v>
          </cell>
          <cell r="P461">
            <v>12.81</v>
          </cell>
          <cell r="Q461">
            <v>12.32</v>
          </cell>
        </row>
        <row r="462">
          <cell r="A462" t="str">
            <v xml:space="preserve"> 5/28/82</v>
          </cell>
          <cell r="C462">
            <v>11.9</v>
          </cell>
          <cell r="D462">
            <v>12.36</v>
          </cell>
          <cell r="E462">
            <v>12.49</v>
          </cell>
          <cell r="F462">
            <v>12.92</v>
          </cell>
          <cell r="G462">
            <v>13.14</v>
          </cell>
          <cell r="H462">
            <v>13.49</v>
          </cell>
          <cell r="I462">
            <v>13.66</v>
          </cell>
          <cell r="J462">
            <v>13.75</v>
          </cell>
          <cell r="K462">
            <v>13.8</v>
          </cell>
          <cell r="L462">
            <v>13.77</v>
          </cell>
          <cell r="M462">
            <v>13.74</v>
          </cell>
          <cell r="N462">
            <v>13.61</v>
          </cell>
          <cell r="O462">
            <v>13.46</v>
          </cell>
          <cell r="P462">
            <v>12.95</v>
          </cell>
          <cell r="Q462">
            <v>12.38</v>
          </cell>
        </row>
        <row r="463">
          <cell r="A463" t="str">
            <v xml:space="preserve"> 6/30/82</v>
          </cell>
          <cell r="C463">
            <v>11.89</v>
          </cell>
          <cell r="D463">
            <v>13.63</v>
          </cell>
          <cell r="E463">
            <v>14.15</v>
          </cell>
          <cell r="F463">
            <v>14.36</v>
          </cell>
          <cell r="G463">
            <v>14.47</v>
          </cell>
          <cell r="H463">
            <v>14.65</v>
          </cell>
          <cell r="I463">
            <v>14.73</v>
          </cell>
          <cell r="J463">
            <v>14.66</v>
          </cell>
          <cell r="K463">
            <v>14.62</v>
          </cell>
          <cell r="L463">
            <v>14.51</v>
          </cell>
          <cell r="M463">
            <v>14.38</v>
          </cell>
          <cell r="N463">
            <v>14.07</v>
          </cell>
          <cell r="O463">
            <v>13.72</v>
          </cell>
          <cell r="P463">
            <v>13.24</v>
          </cell>
          <cell r="Q463">
            <v>12.71</v>
          </cell>
        </row>
        <row r="464">
          <cell r="A464" t="str">
            <v xml:space="preserve"> 7/30/82</v>
          </cell>
          <cell r="C464">
            <v>9.16</v>
          </cell>
          <cell r="D464">
            <v>10.44</v>
          </cell>
          <cell r="E464">
            <v>11.64</v>
          </cell>
          <cell r="F464">
            <v>12.47</v>
          </cell>
          <cell r="G464">
            <v>12.9</v>
          </cell>
          <cell r="H464">
            <v>13.22</v>
          </cell>
          <cell r="I464">
            <v>13.38</v>
          </cell>
          <cell r="J464">
            <v>13.6</v>
          </cell>
          <cell r="K464">
            <v>13.7</v>
          </cell>
          <cell r="L464">
            <v>13.68</v>
          </cell>
          <cell r="M464">
            <v>13.64</v>
          </cell>
          <cell r="N464">
            <v>13.54</v>
          </cell>
          <cell r="O464">
            <v>13.42</v>
          </cell>
          <cell r="P464">
            <v>13.03</v>
          </cell>
          <cell r="Q464">
            <v>12.6</v>
          </cell>
        </row>
        <row r="465">
          <cell r="A465" t="str">
            <v xml:space="preserve"> 8/31/82</v>
          </cell>
          <cell r="C465">
            <v>6.48</v>
          </cell>
          <cell r="D465">
            <v>8.58</v>
          </cell>
          <cell r="E465">
            <v>10.11</v>
          </cell>
          <cell r="F465">
            <v>11</v>
          </cell>
          <cell r="G465">
            <v>11.45</v>
          </cell>
          <cell r="H465">
            <v>11.94</v>
          </cell>
          <cell r="I465">
            <v>12.18</v>
          </cell>
          <cell r="J465">
            <v>12.53</v>
          </cell>
          <cell r="K465">
            <v>12.7</v>
          </cell>
          <cell r="L465">
            <v>12.74</v>
          </cell>
          <cell r="M465">
            <v>12.79</v>
          </cell>
          <cell r="N465">
            <v>12.57</v>
          </cell>
          <cell r="O465">
            <v>12.25</v>
          </cell>
          <cell r="P465">
            <v>12.23</v>
          </cell>
          <cell r="Q465">
            <v>12.25</v>
          </cell>
        </row>
        <row r="466">
          <cell r="A466" t="str">
            <v xml:space="preserve"> 9/30/82</v>
          </cell>
          <cell r="C466">
            <v>7.21</v>
          </cell>
          <cell r="D466">
            <v>7.91</v>
          </cell>
          <cell r="E466">
            <v>9.44</v>
          </cell>
          <cell r="F466">
            <v>10.130000000000001</v>
          </cell>
          <cell r="G466">
            <v>10.48</v>
          </cell>
          <cell r="H466">
            <v>11.2</v>
          </cell>
          <cell r="I466">
            <v>11.56</v>
          </cell>
          <cell r="J466">
            <v>11.74</v>
          </cell>
          <cell r="K466">
            <v>11.83</v>
          </cell>
          <cell r="L466">
            <v>11.86</v>
          </cell>
          <cell r="M466">
            <v>11.9</v>
          </cell>
          <cell r="N466">
            <v>11.8</v>
          </cell>
          <cell r="O466">
            <v>11.65</v>
          </cell>
          <cell r="P466">
            <v>11.42</v>
          </cell>
          <cell r="Q466">
            <v>11.17</v>
          </cell>
        </row>
        <row r="467">
          <cell r="A467" t="str">
            <v>10/29/82</v>
          </cell>
          <cell r="C467">
            <v>7.75</v>
          </cell>
          <cell r="D467">
            <v>8.35</v>
          </cell>
          <cell r="E467">
            <v>8.8699999999999992</v>
          </cell>
          <cell r="F467">
            <v>9.3000000000000007</v>
          </cell>
          <cell r="G467">
            <v>9.52</v>
          </cell>
          <cell r="H467">
            <v>9.93</v>
          </cell>
          <cell r="I467">
            <v>10.130000000000001</v>
          </cell>
          <cell r="J467">
            <v>10.55</v>
          </cell>
          <cell r="K467">
            <v>10.76</v>
          </cell>
          <cell r="L467">
            <v>10.84</v>
          </cell>
          <cell r="M467">
            <v>10.92</v>
          </cell>
          <cell r="N467">
            <v>10.88</v>
          </cell>
          <cell r="O467">
            <v>10.8</v>
          </cell>
          <cell r="P467">
            <v>10.68</v>
          </cell>
          <cell r="Q467">
            <v>10.56</v>
          </cell>
        </row>
        <row r="468">
          <cell r="A468" t="str">
            <v>11/30/82</v>
          </cell>
          <cell r="C468">
            <v>7.84</v>
          </cell>
          <cell r="D468">
            <v>8.65</v>
          </cell>
          <cell r="E468">
            <v>8.9700000000000006</v>
          </cell>
          <cell r="F468">
            <v>9.2899999999999991</v>
          </cell>
          <cell r="G468">
            <v>9.4600000000000009</v>
          </cell>
          <cell r="H468">
            <v>9.85</v>
          </cell>
          <cell r="I468">
            <v>10.050000000000001</v>
          </cell>
          <cell r="J468">
            <v>10.48</v>
          </cell>
          <cell r="K468">
            <v>10.7</v>
          </cell>
          <cell r="L468">
            <v>10.88</v>
          </cell>
          <cell r="M468">
            <v>11.1</v>
          </cell>
          <cell r="N468">
            <v>11.08</v>
          </cell>
          <cell r="O468">
            <v>10.97</v>
          </cell>
          <cell r="P468">
            <v>10.86</v>
          </cell>
          <cell r="Q468">
            <v>10.74</v>
          </cell>
        </row>
        <row r="469">
          <cell r="A469" t="str">
            <v>12/31/82</v>
          </cell>
          <cell r="C469">
            <v>8.4</v>
          </cell>
          <cell r="D469">
            <v>8.4700000000000006</v>
          </cell>
          <cell r="E469">
            <v>8.56</v>
          </cell>
          <cell r="F469">
            <v>8.81</v>
          </cell>
          <cell r="G469">
            <v>8.94</v>
          </cell>
          <cell r="H469">
            <v>9.41</v>
          </cell>
          <cell r="I469">
            <v>9.64</v>
          </cell>
          <cell r="J469">
            <v>10.09</v>
          </cell>
          <cell r="K469">
            <v>10.31</v>
          </cell>
          <cell r="L469">
            <v>10.48</v>
          </cell>
          <cell r="M469">
            <v>10.68</v>
          </cell>
          <cell r="N469">
            <v>10.79</v>
          </cell>
          <cell r="O469">
            <v>10.86</v>
          </cell>
          <cell r="P469">
            <v>10.67</v>
          </cell>
          <cell r="Q469">
            <v>10.4</v>
          </cell>
        </row>
        <row r="470">
          <cell r="A470" t="str">
            <v xml:space="preserve"> 1/31/83</v>
          </cell>
          <cell r="C470">
            <v>8.15</v>
          </cell>
          <cell r="D470">
            <v>8.6</v>
          </cell>
          <cell r="E470">
            <v>8.7100000000000009</v>
          </cell>
          <cell r="F470">
            <v>8.98</v>
          </cell>
          <cell r="G470">
            <v>9.1199999999999992</v>
          </cell>
          <cell r="H470">
            <v>9.57</v>
          </cell>
          <cell r="I470">
            <v>9.7899999999999991</v>
          </cell>
          <cell r="J470">
            <v>10.25</v>
          </cell>
          <cell r="K470">
            <v>10.48</v>
          </cell>
          <cell r="L470">
            <v>10.78</v>
          </cell>
          <cell r="M470">
            <v>11.12</v>
          </cell>
          <cell r="N470">
            <v>11.29</v>
          </cell>
          <cell r="O470">
            <v>11.37</v>
          </cell>
          <cell r="P470">
            <v>11.36</v>
          </cell>
          <cell r="Q470">
            <v>11.34</v>
          </cell>
        </row>
        <row r="471">
          <cell r="A471" t="str">
            <v xml:space="preserve"> 2/28/83</v>
          </cell>
          <cell r="C471">
            <v>7.6</v>
          </cell>
          <cell r="D471">
            <v>8.3000000000000007</v>
          </cell>
          <cell r="E471">
            <v>8.4</v>
          </cell>
          <cell r="F471">
            <v>8.61</v>
          </cell>
          <cell r="G471">
            <v>8.7100000000000009</v>
          </cell>
          <cell r="H471">
            <v>9.1999999999999993</v>
          </cell>
          <cell r="I471">
            <v>9.44</v>
          </cell>
          <cell r="J471">
            <v>9.83</v>
          </cell>
          <cell r="K471">
            <v>10.02</v>
          </cell>
          <cell r="L471">
            <v>10.24</v>
          </cell>
          <cell r="M471">
            <v>10.49</v>
          </cell>
          <cell r="N471">
            <v>10.72</v>
          </cell>
          <cell r="O471">
            <v>10.91</v>
          </cell>
          <cell r="P471">
            <v>10.84</v>
          </cell>
          <cell r="Q471">
            <v>10.71</v>
          </cell>
        </row>
        <row r="472">
          <cell r="A472" t="str">
            <v xml:space="preserve"> 3/31/83</v>
          </cell>
          <cell r="C472">
            <v>8.75</v>
          </cell>
          <cell r="D472">
            <v>9.17</v>
          </cell>
          <cell r="E472">
            <v>9.19</v>
          </cell>
          <cell r="F472">
            <v>9.31</v>
          </cell>
          <cell r="G472">
            <v>9.3699999999999992</v>
          </cell>
          <cell r="H472">
            <v>9.75</v>
          </cell>
          <cell r="I472">
            <v>9.94</v>
          </cell>
          <cell r="J472">
            <v>10.26</v>
          </cell>
          <cell r="K472">
            <v>10.42</v>
          </cell>
          <cell r="L472">
            <v>10.6</v>
          </cell>
          <cell r="M472">
            <v>10.81</v>
          </cell>
          <cell r="N472">
            <v>10.96</v>
          </cell>
          <cell r="O472">
            <v>11.07</v>
          </cell>
          <cell r="P472">
            <v>10.89</v>
          </cell>
          <cell r="Q472">
            <v>10.64</v>
          </cell>
        </row>
        <row r="473">
          <cell r="A473" t="str">
            <v xml:space="preserve"> 4/29/83</v>
          </cell>
          <cell r="C473">
            <v>8.2100000000000009</v>
          </cell>
          <cell r="D473">
            <v>8.6199999999999992</v>
          </cell>
          <cell r="E473">
            <v>8.57</v>
          </cell>
          <cell r="F473">
            <v>8.6999999999999993</v>
          </cell>
          <cell r="G473">
            <v>8.77</v>
          </cell>
          <cell r="H473">
            <v>9.14</v>
          </cell>
          <cell r="I473">
            <v>9.33</v>
          </cell>
          <cell r="J473">
            <v>9.73</v>
          </cell>
          <cell r="K473">
            <v>9.92</v>
          </cell>
          <cell r="L473">
            <v>10.16</v>
          </cell>
          <cell r="M473">
            <v>10.44</v>
          </cell>
          <cell r="N473">
            <v>10.58</v>
          </cell>
          <cell r="O473">
            <v>10.65</v>
          </cell>
          <cell r="P473">
            <v>10.56</v>
          </cell>
          <cell r="Q473">
            <v>10.46</v>
          </cell>
        </row>
        <row r="474">
          <cell r="A474" t="str">
            <v xml:space="preserve"> 5/31/83</v>
          </cell>
          <cell r="C474">
            <v>8.35</v>
          </cell>
          <cell r="D474">
            <v>9.1199999999999992</v>
          </cell>
          <cell r="E474">
            <v>9.26</v>
          </cell>
          <cell r="F474">
            <v>9.3800000000000008</v>
          </cell>
          <cell r="G474">
            <v>9.43</v>
          </cell>
          <cell r="H474">
            <v>9.89</v>
          </cell>
          <cell r="I474">
            <v>10.130000000000001</v>
          </cell>
          <cell r="J474">
            <v>10.4</v>
          </cell>
          <cell r="K474">
            <v>10.54</v>
          </cell>
          <cell r="L474">
            <v>10.78</v>
          </cell>
          <cell r="M474">
            <v>11.06</v>
          </cell>
          <cell r="N474">
            <v>11.2</v>
          </cell>
          <cell r="O474">
            <v>11.27</v>
          </cell>
          <cell r="P474">
            <v>11.22</v>
          </cell>
          <cell r="Q474">
            <v>11.14</v>
          </cell>
        </row>
        <row r="475">
          <cell r="A475" t="str">
            <v xml:space="preserve"> 6/30/83</v>
          </cell>
          <cell r="C475">
            <v>8.73</v>
          </cell>
          <cell r="D475">
            <v>9.2899999999999991</v>
          </cell>
          <cell r="E475">
            <v>9.4700000000000006</v>
          </cell>
          <cell r="F475">
            <v>9.67</v>
          </cell>
          <cell r="G475">
            <v>9.77</v>
          </cell>
          <cell r="H475">
            <v>10.11</v>
          </cell>
          <cell r="I475">
            <v>10.28</v>
          </cell>
          <cell r="J475">
            <v>10.6</v>
          </cell>
          <cell r="K475">
            <v>10.75</v>
          </cell>
          <cell r="L475">
            <v>10.93</v>
          </cell>
          <cell r="M475">
            <v>11.14</v>
          </cell>
          <cell r="N475">
            <v>11.25</v>
          </cell>
          <cell r="O475">
            <v>11.31</v>
          </cell>
          <cell r="P475">
            <v>11.15</v>
          </cell>
          <cell r="Q475">
            <v>10.93</v>
          </cell>
        </row>
        <row r="476">
          <cell r="A476" t="str">
            <v xml:space="preserve"> 7/29/83</v>
          </cell>
          <cell r="C476">
            <v>9.06</v>
          </cell>
          <cell r="D476">
            <v>9.77</v>
          </cell>
          <cell r="E476">
            <v>10.02</v>
          </cell>
          <cell r="F476">
            <v>10.39</v>
          </cell>
          <cell r="G476">
            <v>10.59</v>
          </cell>
          <cell r="H476">
            <v>10.94</v>
          </cell>
          <cell r="I476">
            <v>11.12</v>
          </cell>
          <cell r="J476">
            <v>11.47</v>
          </cell>
          <cell r="K476">
            <v>11.65</v>
          </cell>
          <cell r="L476">
            <v>11.83</v>
          </cell>
          <cell r="M476">
            <v>12.04</v>
          </cell>
          <cell r="N476">
            <v>12.11</v>
          </cell>
          <cell r="O476">
            <v>12.11</v>
          </cell>
          <cell r="P476">
            <v>11.98</v>
          </cell>
          <cell r="Q476">
            <v>11.81</v>
          </cell>
        </row>
        <row r="477">
          <cell r="A477" t="str">
            <v xml:space="preserve"> 8/31/83</v>
          </cell>
          <cell r="C477">
            <v>8.86</v>
          </cell>
          <cell r="D477">
            <v>9.7100000000000009</v>
          </cell>
          <cell r="E477">
            <v>10.130000000000001</v>
          </cell>
          <cell r="F477">
            <v>10.41</v>
          </cell>
          <cell r="G477">
            <v>10.55</v>
          </cell>
          <cell r="H477">
            <v>10.97</v>
          </cell>
          <cell r="I477">
            <v>11.18</v>
          </cell>
          <cell r="J477">
            <v>11.58</v>
          </cell>
          <cell r="K477">
            <v>11.78</v>
          </cell>
          <cell r="L477">
            <v>11.93</v>
          </cell>
          <cell r="M477">
            <v>12.11</v>
          </cell>
          <cell r="N477">
            <v>12.14</v>
          </cell>
          <cell r="O477">
            <v>12.09</v>
          </cell>
          <cell r="P477">
            <v>11.99</v>
          </cell>
          <cell r="Q477">
            <v>11.87</v>
          </cell>
        </row>
        <row r="478">
          <cell r="A478" t="str">
            <v xml:space="preserve"> 9/30/83</v>
          </cell>
          <cell r="C478">
            <v>9.01</v>
          </cell>
          <cell r="D478">
            <v>9.2799999999999994</v>
          </cell>
          <cell r="E478">
            <v>9.4600000000000009</v>
          </cell>
          <cell r="F478">
            <v>9.73</v>
          </cell>
          <cell r="G478">
            <v>9.86</v>
          </cell>
          <cell r="H478">
            <v>10.31</v>
          </cell>
          <cell r="I478">
            <v>10.53</v>
          </cell>
          <cell r="J478">
            <v>10.94</v>
          </cell>
          <cell r="K478">
            <v>11.14</v>
          </cell>
          <cell r="L478">
            <v>11.36</v>
          </cell>
          <cell r="M478">
            <v>11.61</v>
          </cell>
          <cell r="N478">
            <v>11.69</v>
          </cell>
          <cell r="O478">
            <v>11.69</v>
          </cell>
          <cell r="P478">
            <v>11.48</v>
          </cell>
          <cell r="Q478">
            <v>11.22</v>
          </cell>
        </row>
        <row r="479">
          <cell r="A479" t="str">
            <v>10/31/83</v>
          </cell>
          <cell r="C479">
            <v>8.67</v>
          </cell>
          <cell r="D479">
            <v>8.99</v>
          </cell>
          <cell r="E479">
            <v>9.36</v>
          </cell>
          <cell r="F479">
            <v>9.6199999999999992</v>
          </cell>
          <cell r="G479">
            <v>9.74</v>
          </cell>
          <cell r="H479">
            <v>10.31</v>
          </cell>
          <cell r="I479">
            <v>10.6</v>
          </cell>
          <cell r="J479">
            <v>11.12</v>
          </cell>
          <cell r="K479">
            <v>11.38</v>
          </cell>
          <cell r="L479">
            <v>11.62</v>
          </cell>
          <cell r="M479">
            <v>11.88</v>
          </cell>
          <cell r="N479">
            <v>11.99</v>
          </cell>
          <cell r="O479">
            <v>12.03</v>
          </cell>
          <cell r="P479">
            <v>11.92</v>
          </cell>
          <cell r="Q479">
            <v>11.79</v>
          </cell>
        </row>
        <row r="480">
          <cell r="A480" t="str">
            <v>11/30/83</v>
          </cell>
          <cell r="C480">
            <v>8.68</v>
          </cell>
          <cell r="D480">
            <v>9.32</v>
          </cell>
          <cell r="E480">
            <v>9.58</v>
          </cell>
          <cell r="F480">
            <v>9.7899999999999991</v>
          </cell>
          <cell r="G480">
            <v>9.89</v>
          </cell>
          <cell r="H480">
            <v>10.37</v>
          </cell>
          <cell r="I480">
            <v>10.61</v>
          </cell>
          <cell r="J480">
            <v>11.12</v>
          </cell>
          <cell r="K480">
            <v>11.38</v>
          </cell>
          <cell r="L480">
            <v>11.53</v>
          </cell>
          <cell r="M480">
            <v>11.71</v>
          </cell>
          <cell r="N480">
            <v>11.8</v>
          </cell>
          <cell r="O480">
            <v>11.84</v>
          </cell>
          <cell r="P480">
            <v>11.71</v>
          </cell>
          <cell r="Q480">
            <v>11.53</v>
          </cell>
        </row>
        <row r="481">
          <cell r="A481" t="str">
            <v>12/30/83</v>
          </cell>
          <cell r="C481">
            <v>8.76</v>
          </cell>
          <cell r="D481">
            <v>9.59</v>
          </cell>
          <cell r="E481">
            <v>9.76</v>
          </cell>
          <cell r="F481">
            <v>10.01</v>
          </cell>
          <cell r="G481">
            <v>10.14</v>
          </cell>
          <cell r="H481">
            <v>10.64</v>
          </cell>
          <cell r="I481">
            <v>10.9</v>
          </cell>
          <cell r="J481">
            <v>11.33</v>
          </cell>
          <cell r="K481">
            <v>11.55</v>
          </cell>
          <cell r="L481">
            <v>11.72</v>
          </cell>
          <cell r="M481">
            <v>11.91</v>
          </cell>
          <cell r="N481">
            <v>12</v>
          </cell>
          <cell r="O481">
            <v>12.04</v>
          </cell>
          <cell r="P481">
            <v>11.93</v>
          </cell>
          <cell r="Q481">
            <v>11.78</v>
          </cell>
        </row>
        <row r="482">
          <cell r="A482" t="str">
            <v xml:space="preserve"> 1/31/84</v>
          </cell>
          <cell r="C482">
            <v>9.1199999999999992</v>
          </cell>
          <cell r="D482">
            <v>9.35</v>
          </cell>
          <cell r="E482">
            <v>9.52</v>
          </cell>
          <cell r="F482">
            <v>9.6999999999999993</v>
          </cell>
          <cell r="G482">
            <v>9.7899999999999991</v>
          </cell>
          <cell r="H482">
            <v>10.32</v>
          </cell>
          <cell r="I482">
            <v>10.6</v>
          </cell>
          <cell r="J482">
            <v>11.05</v>
          </cell>
          <cell r="K482">
            <v>11.28</v>
          </cell>
          <cell r="L482">
            <v>11.49</v>
          </cell>
          <cell r="M482">
            <v>11.74</v>
          </cell>
          <cell r="N482">
            <v>11.85</v>
          </cell>
          <cell r="O482">
            <v>11.91</v>
          </cell>
          <cell r="P482">
            <v>11.84</v>
          </cell>
          <cell r="Q482">
            <v>11.76</v>
          </cell>
        </row>
        <row r="483">
          <cell r="A483" t="str">
            <v xml:space="preserve"> 2/29/84</v>
          </cell>
          <cell r="C483">
            <v>8.61</v>
          </cell>
          <cell r="D483">
            <v>9.7200000000000006</v>
          </cell>
          <cell r="E483">
            <v>9.86</v>
          </cell>
          <cell r="F483">
            <v>10.130000000000001</v>
          </cell>
          <cell r="G483">
            <v>10.27</v>
          </cell>
          <cell r="H483">
            <v>10.75</v>
          </cell>
          <cell r="I483">
            <v>11</v>
          </cell>
          <cell r="J483">
            <v>11.5</v>
          </cell>
          <cell r="K483">
            <v>11.75</v>
          </cell>
          <cell r="L483">
            <v>11.96</v>
          </cell>
          <cell r="M483">
            <v>12.2</v>
          </cell>
          <cell r="N483">
            <v>12.26</v>
          </cell>
          <cell r="O483">
            <v>12.23</v>
          </cell>
          <cell r="P483">
            <v>12.3</v>
          </cell>
          <cell r="Q483">
            <v>12.4</v>
          </cell>
        </row>
        <row r="484">
          <cell r="A484" t="str">
            <v xml:space="preserve"> 3/30/84</v>
          </cell>
          <cell r="C484">
            <v>9.68</v>
          </cell>
          <cell r="D484">
            <v>10.3</v>
          </cell>
          <cell r="E484">
            <v>10.53</v>
          </cell>
          <cell r="F484">
            <v>10.82</v>
          </cell>
          <cell r="G484">
            <v>10.97</v>
          </cell>
          <cell r="H484">
            <v>11.33</v>
          </cell>
          <cell r="I484">
            <v>11.52</v>
          </cell>
          <cell r="J484">
            <v>11.97</v>
          </cell>
          <cell r="K484">
            <v>12.2</v>
          </cell>
          <cell r="L484">
            <v>12.39</v>
          </cell>
          <cell r="M484">
            <v>12.62</v>
          </cell>
          <cell r="N484">
            <v>12.63</v>
          </cell>
          <cell r="O484">
            <v>12.55</v>
          </cell>
          <cell r="P484">
            <v>12.55</v>
          </cell>
          <cell r="Q484">
            <v>12.56</v>
          </cell>
        </row>
        <row r="485">
          <cell r="A485" t="str">
            <v xml:space="preserve"> 4/30/84</v>
          </cell>
          <cell r="C485">
            <v>9.5500000000000007</v>
          </cell>
          <cell r="D485">
            <v>10.28</v>
          </cell>
          <cell r="E485">
            <v>10.6</v>
          </cell>
          <cell r="F485">
            <v>10.94</v>
          </cell>
          <cell r="G485">
            <v>11.11</v>
          </cell>
          <cell r="H485">
            <v>11.64</v>
          </cell>
          <cell r="I485">
            <v>11.9</v>
          </cell>
          <cell r="J485">
            <v>12.32</v>
          </cell>
          <cell r="K485">
            <v>12.53</v>
          </cell>
          <cell r="L485">
            <v>12.76</v>
          </cell>
          <cell r="M485">
            <v>13.02</v>
          </cell>
          <cell r="N485">
            <v>13.02</v>
          </cell>
          <cell r="O485">
            <v>12.91</v>
          </cell>
          <cell r="P485">
            <v>12.89</v>
          </cell>
          <cell r="Q485">
            <v>12.89</v>
          </cell>
        </row>
        <row r="486">
          <cell r="A486" t="str">
            <v xml:space="preserve"> 5/31/84</v>
          </cell>
          <cell r="C486">
            <v>9.0299999999999994</v>
          </cell>
          <cell r="D486">
            <v>10.41</v>
          </cell>
          <cell r="E486">
            <v>11.23</v>
          </cell>
          <cell r="F486">
            <v>11.94</v>
          </cell>
          <cell r="G486">
            <v>12.3</v>
          </cell>
          <cell r="H486">
            <v>12.78</v>
          </cell>
          <cell r="I486">
            <v>13.03</v>
          </cell>
          <cell r="J486">
            <v>13.46</v>
          </cell>
          <cell r="K486">
            <v>13.68</v>
          </cell>
          <cell r="L486">
            <v>13.84</v>
          </cell>
          <cell r="M486">
            <v>14.04</v>
          </cell>
          <cell r="N486">
            <v>13.92</v>
          </cell>
          <cell r="O486">
            <v>13.69</v>
          </cell>
          <cell r="P486">
            <v>13.63</v>
          </cell>
          <cell r="Q486">
            <v>13.59</v>
          </cell>
        </row>
        <row r="487">
          <cell r="A487" t="str">
            <v xml:space="preserve"> 6/29/84</v>
          </cell>
          <cell r="C487">
            <v>9.3000000000000007</v>
          </cell>
          <cell r="D487">
            <v>10.41</v>
          </cell>
          <cell r="E487">
            <v>11.28</v>
          </cell>
          <cell r="F487">
            <v>12.06</v>
          </cell>
          <cell r="G487">
            <v>12.47</v>
          </cell>
          <cell r="H487">
            <v>12.97</v>
          </cell>
          <cell r="I487">
            <v>13.23</v>
          </cell>
          <cell r="J487">
            <v>13.6</v>
          </cell>
          <cell r="K487">
            <v>13.79</v>
          </cell>
          <cell r="L487">
            <v>13.9</v>
          </cell>
          <cell r="M487">
            <v>14.04</v>
          </cell>
          <cell r="N487">
            <v>13.97</v>
          </cell>
          <cell r="O487">
            <v>13.83</v>
          </cell>
          <cell r="P487">
            <v>13.65</v>
          </cell>
          <cell r="Q487">
            <v>13.44</v>
          </cell>
        </row>
        <row r="488">
          <cell r="A488" t="str">
            <v xml:space="preserve"> 7/31/84</v>
          </cell>
          <cell r="C488">
            <v>9.9499999999999993</v>
          </cell>
          <cell r="D488">
            <v>10.88</v>
          </cell>
          <cell r="E488">
            <v>11.35</v>
          </cell>
          <cell r="F488">
            <v>11.83</v>
          </cell>
          <cell r="G488">
            <v>12.08</v>
          </cell>
          <cell r="H488">
            <v>12.45</v>
          </cell>
          <cell r="I488">
            <v>12.63</v>
          </cell>
          <cell r="J488">
            <v>12.76</v>
          </cell>
          <cell r="K488">
            <v>12.82</v>
          </cell>
          <cell r="L488">
            <v>12.91</v>
          </cell>
          <cell r="M488">
            <v>13.01</v>
          </cell>
          <cell r="N488">
            <v>13.03</v>
          </cell>
          <cell r="O488">
            <v>13.01</v>
          </cell>
          <cell r="P488">
            <v>12.81</v>
          </cell>
          <cell r="Q488">
            <v>12.55</v>
          </cell>
        </row>
        <row r="489">
          <cell r="A489" t="str">
            <v xml:space="preserve"> 8/31/84</v>
          </cell>
          <cell r="C489">
            <v>10.48</v>
          </cell>
          <cell r="D489">
            <v>11.23</v>
          </cell>
          <cell r="E489">
            <v>11.5</v>
          </cell>
          <cell r="F489">
            <v>11.88</v>
          </cell>
          <cell r="G489">
            <v>12.07</v>
          </cell>
          <cell r="H489">
            <v>12.41</v>
          </cell>
          <cell r="I489">
            <v>12.58</v>
          </cell>
          <cell r="J489">
            <v>12.73</v>
          </cell>
          <cell r="K489">
            <v>12.8</v>
          </cell>
          <cell r="L489">
            <v>12.85</v>
          </cell>
          <cell r="M489">
            <v>12.92</v>
          </cell>
          <cell r="N489">
            <v>12.81</v>
          </cell>
          <cell r="O489">
            <v>12.64</v>
          </cell>
          <cell r="P489">
            <v>12.48</v>
          </cell>
          <cell r="Q489">
            <v>12.29</v>
          </cell>
        </row>
        <row r="490">
          <cell r="A490" t="str">
            <v xml:space="preserve"> 9/28/84</v>
          </cell>
          <cell r="C490">
            <v>10.66</v>
          </cell>
          <cell r="D490">
            <v>10.7</v>
          </cell>
          <cell r="E490">
            <v>11.14</v>
          </cell>
          <cell r="F490">
            <v>11.41</v>
          </cell>
          <cell r="G490">
            <v>11.55</v>
          </cell>
          <cell r="H490">
            <v>11.95</v>
          </cell>
          <cell r="I490">
            <v>12.15</v>
          </cell>
          <cell r="J490">
            <v>12.38</v>
          </cell>
          <cell r="K490">
            <v>12.49</v>
          </cell>
          <cell r="L490">
            <v>12.53</v>
          </cell>
          <cell r="M490">
            <v>12.57</v>
          </cell>
          <cell r="N490">
            <v>12.5</v>
          </cell>
          <cell r="O490">
            <v>12.38</v>
          </cell>
          <cell r="P490">
            <v>12.16</v>
          </cell>
          <cell r="Q490">
            <v>11.91</v>
          </cell>
        </row>
        <row r="491">
          <cell r="A491" t="str">
            <v>10/31/84</v>
          </cell>
          <cell r="C491">
            <v>8.61</v>
          </cell>
          <cell r="D491">
            <v>9.5</v>
          </cell>
          <cell r="E491">
            <v>9.9600000000000009</v>
          </cell>
          <cell r="F491">
            <v>10.27</v>
          </cell>
          <cell r="G491">
            <v>10.42</v>
          </cell>
          <cell r="H491">
            <v>10.96</v>
          </cell>
          <cell r="I491">
            <v>11.22</v>
          </cell>
          <cell r="J491">
            <v>11.46</v>
          </cell>
          <cell r="K491">
            <v>11.57</v>
          </cell>
          <cell r="L491">
            <v>11.69</v>
          </cell>
          <cell r="M491">
            <v>11.82</v>
          </cell>
          <cell r="N491">
            <v>11.85</v>
          </cell>
          <cell r="O491">
            <v>11.84</v>
          </cell>
          <cell r="P491">
            <v>11.6</v>
          </cell>
          <cell r="Q491">
            <v>11.33</v>
          </cell>
        </row>
        <row r="492">
          <cell r="A492" t="str">
            <v>11/30/84</v>
          </cell>
          <cell r="C492">
            <v>7.59</v>
          </cell>
          <cell r="D492">
            <v>8.92</v>
          </cell>
          <cell r="E492">
            <v>9.24</v>
          </cell>
          <cell r="F492">
            <v>9.6199999999999992</v>
          </cell>
          <cell r="G492">
            <v>9.81</v>
          </cell>
          <cell r="H492">
            <v>10.34</v>
          </cell>
          <cell r="I492">
            <v>10.61</v>
          </cell>
          <cell r="J492">
            <v>11.08</v>
          </cell>
          <cell r="K492">
            <v>11.31</v>
          </cell>
          <cell r="L492">
            <v>11.47</v>
          </cell>
          <cell r="M492">
            <v>11.65</v>
          </cell>
          <cell r="N492">
            <v>11.78</v>
          </cell>
          <cell r="O492">
            <v>11.86</v>
          </cell>
          <cell r="P492">
            <v>11.73</v>
          </cell>
          <cell r="Q492">
            <v>11.55</v>
          </cell>
        </row>
        <row r="493">
          <cell r="A493" t="str">
            <v>12/31/84</v>
          </cell>
          <cell r="C493">
            <v>7.89</v>
          </cell>
          <cell r="D493">
            <v>8.2200000000000006</v>
          </cell>
          <cell r="E493">
            <v>8.6</v>
          </cell>
          <cell r="F493">
            <v>9.1199999999999992</v>
          </cell>
          <cell r="G493">
            <v>9.3800000000000008</v>
          </cell>
          <cell r="H493">
            <v>9.9</v>
          </cell>
          <cell r="I493">
            <v>10.16</v>
          </cell>
          <cell r="J493">
            <v>10.79</v>
          </cell>
          <cell r="K493">
            <v>11.1</v>
          </cell>
          <cell r="L493">
            <v>11.39</v>
          </cell>
          <cell r="M493">
            <v>11.73</v>
          </cell>
          <cell r="N493">
            <v>11.85</v>
          </cell>
          <cell r="O493">
            <v>11.88</v>
          </cell>
          <cell r="P493">
            <v>11.7</v>
          </cell>
          <cell r="Q493">
            <v>11.49</v>
          </cell>
        </row>
        <row r="494">
          <cell r="A494" t="str">
            <v xml:space="preserve"> 1/31/85</v>
          </cell>
          <cell r="C494">
            <v>7.68</v>
          </cell>
          <cell r="D494">
            <v>8.5</v>
          </cell>
          <cell r="E494">
            <v>8.7200000000000006</v>
          </cell>
          <cell r="F494">
            <v>9.0299999999999994</v>
          </cell>
          <cell r="G494">
            <v>9.18</v>
          </cell>
          <cell r="H494">
            <v>9.7799999999999994</v>
          </cell>
          <cell r="I494">
            <v>10.08</v>
          </cell>
          <cell r="J494">
            <v>10.6</v>
          </cell>
          <cell r="K494">
            <v>10.86</v>
          </cell>
          <cell r="L494">
            <v>11.05</v>
          </cell>
          <cell r="M494">
            <v>11.28</v>
          </cell>
          <cell r="N494">
            <v>11.47</v>
          </cell>
          <cell r="O494">
            <v>11.64</v>
          </cell>
          <cell r="P494">
            <v>11.47</v>
          </cell>
          <cell r="Q494">
            <v>11.26</v>
          </cell>
        </row>
        <row r="495">
          <cell r="A495" t="str">
            <v xml:space="preserve"> 2/28/85</v>
          </cell>
          <cell r="C495">
            <v>7.63</v>
          </cell>
          <cell r="D495">
            <v>9.02</v>
          </cell>
          <cell r="E495">
            <v>9.4</v>
          </cell>
          <cell r="F495">
            <v>9.76</v>
          </cell>
          <cell r="G495">
            <v>9.9499999999999993</v>
          </cell>
          <cell r="H495">
            <v>10.51</v>
          </cell>
          <cell r="I495">
            <v>10.79</v>
          </cell>
          <cell r="J495">
            <v>11.33</v>
          </cell>
          <cell r="K495">
            <v>11.6</v>
          </cell>
          <cell r="L495">
            <v>11.81</v>
          </cell>
          <cell r="M495">
            <v>12.06</v>
          </cell>
          <cell r="N495">
            <v>12.22</v>
          </cell>
          <cell r="O495">
            <v>12.33</v>
          </cell>
          <cell r="P495">
            <v>12.23</v>
          </cell>
          <cell r="Q495">
            <v>12.09</v>
          </cell>
        </row>
        <row r="496">
          <cell r="A496" t="str">
            <v xml:space="preserve"> 3/29/85</v>
          </cell>
          <cell r="C496">
            <v>8.02</v>
          </cell>
          <cell r="D496">
            <v>8.6999999999999993</v>
          </cell>
          <cell r="E496">
            <v>9.11</v>
          </cell>
          <cell r="F496">
            <v>9.5399999999999991</v>
          </cell>
          <cell r="G496">
            <v>9.76</v>
          </cell>
          <cell r="H496">
            <v>10.25</v>
          </cell>
          <cell r="I496">
            <v>10.49</v>
          </cell>
          <cell r="J496">
            <v>11.05</v>
          </cell>
          <cell r="K496">
            <v>11.33</v>
          </cell>
          <cell r="L496">
            <v>11.56</v>
          </cell>
          <cell r="M496">
            <v>11.82</v>
          </cell>
          <cell r="N496">
            <v>11.98</v>
          </cell>
          <cell r="O496">
            <v>12.09</v>
          </cell>
          <cell r="P496">
            <v>11.97</v>
          </cell>
          <cell r="Q496">
            <v>11.8</v>
          </cell>
        </row>
        <row r="497">
          <cell r="A497" t="str">
            <v xml:space="preserve"> 4/30/85</v>
          </cell>
          <cell r="C497">
            <v>7.52</v>
          </cell>
          <cell r="D497">
            <v>8.26</v>
          </cell>
          <cell r="E497">
            <v>8.5399999999999991</v>
          </cell>
          <cell r="F497">
            <v>8.9700000000000006</v>
          </cell>
          <cell r="G497">
            <v>9.19</v>
          </cell>
          <cell r="H497">
            <v>9.74</v>
          </cell>
          <cell r="I497">
            <v>10.01</v>
          </cell>
          <cell r="J497">
            <v>10.59</v>
          </cell>
          <cell r="K497">
            <v>10.88</v>
          </cell>
          <cell r="L497">
            <v>11.17</v>
          </cell>
          <cell r="M497">
            <v>11.51</v>
          </cell>
          <cell r="N497">
            <v>11.78</v>
          </cell>
          <cell r="O497">
            <v>12</v>
          </cell>
          <cell r="P497">
            <v>11.91</v>
          </cell>
          <cell r="Q497">
            <v>11.75</v>
          </cell>
        </row>
        <row r="498">
          <cell r="A498" t="str">
            <v xml:space="preserve"> 5/31/85</v>
          </cell>
          <cell r="C498">
            <v>6.71</v>
          </cell>
          <cell r="D498">
            <v>7.57</v>
          </cell>
          <cell r="E498">
            <v>7.57</v>
          </cell>
          <cell r="F498">
            <v>7.95</v>
          </cell>
          <cell r="G498">
            <v>8.14</v>
          </cell>
          <cell r="H498">
            <v>8.69</v>
          </cell>
          <cell r="I498">
            <v>8.9600000000000009</v>
          </cell>
          <cell r="J498">
            <v>9.51</v>
          </cell>
          <cell r="K498">
            <v>9.7899999999999991</v>
          </cell>
          <cell r="L498">
            <v>10.02</v>
          </cell>
          <cell r="M498">
            <v>10.29</v>
          </cell>
          <cell r="N498">
            <v>10.68</v>
          </cell>
          <cell r="O498">
            <v>11.08</v>
          </cell>
          <cell r="P498">
            <v>11.01</v>
          </cell>
          <cell r="Q498">
            <v>10.86</v>
          </cell>
        </row>
        <row r="499">
          <cell r="A499" t="str">
            <v xml:space="preserve"> 6/28/85</v>
          </cell>
          <cell r="C499">
            <v>6.73</v>
          </cell>
          <cell r="D499">
            <v>7.27</v>
          </cell>
          <cell r="E499">
            <v>7.41</v>
          </cell>
          <cell r="F499">
            <v>7.7</v>
          </cell>
          <cell r="G499">
            <v>7.84</v>
          </cell>
          <cell r="H499">
            <v>8.41</v>
          </cell>
          <cell r="I499">
            <v>8.6999999999999993</v>
          </cell>
          <cell r="J499">
            <v>9.33</v>
          </cell>
          <cell r="K499">
            <v>9.65</v>
          </cell>
          <cell r="L499">
            <v>9.9499999999999993</v>
          </cell>
          <cell r="M499">
            <v>10.3</v>
          </cell>
          <cell r="N499">
            <v>10.67</v>
          </cell>
          <cell r="O499">
            <v>11.02</v>
          </cell>
          <cell r="P499">
            <v>10.88</v>
          </cell>
          <cell r="Q499">
            <v>10.64</v>
          </cell>
        </row>
        <row r="500">
          <cell r="A500" t="str">
            <v xml:space="preserve"> 7/31/85</v>
          </cell>
          <cell r="C500">
            <v>7.15</v>
          </cell>
          <cell r="D500">
            <v>7.59</v>
          </cell>
          <cell r="E500">
            <v>7.84</v>
          </cell>
          <cell r="F500">
            <v>8.1199999999999992</v>
          </cell>
          <cell r="G500">
            <v>8.26</v>
          </cell>
          <cell r="H500">
            <v>8.81</v>
          </cell>
          <cell r="I500">
            <v>9.08</v>
          </cell>
          <cell r="J500">
            <v>9.73</v>
          </cell>
          <cell r="K500">
            <v>10.06</v>
          </cell>
          <cell r="L500">
            <v>10.32</v>
          </cell>
          <cell r="M500">
            <v>10.62</v>
          </cell>
          <cell r="N500">
            <v>10.96</v>
          </cell>
          <cell r="O500">
            <v>11.29</v>
          </cell>
          <cell r="P500">
            <v>11.19</v>
          </cell>
          <cell r="Q500">
            <v>11.01</v>
          </cell>
        </row>
        <row r="501">
          <cell r="A501" t="str">
            <v xml:space="preserve"> 8/30/85</v>
          </cell>
          <cell r="C501">
            <v>7.1</v>
          </cell>
          <cell r="D501">
            <v>7.46</v>
          </cell>
          <cell r="E501">
            <v>7.72</v>
          </cell>
          <cell r="F501">
            <v>7.97</v>
          </cell>
          <cell r="G501">
            <v>8.09</v>
          </cell>
          <cell r="H501">
            <v>8.64</v>
          </cell>
          <cell r="I501">
            <v>8.92</v>
          </cell>
          <cell r="J501">
            <v>9.56</v>
          </cell>
          <cell r="K501">
            <v>9.8800000000000008</v>
          </cell>
          <cell r="L501">
            <v>10.11</v>
          </cell>
          <cell r="M501">
            <v>10.38</v>
          </cell>
          <cell r="N501">
            <v>10.79</v>
          </cell>
          <cell r="O501">
            <v>11.22</v>
          </cell>
          <cell r="P501">
            <v>10.98</v>
          </cell>
          <cell r="Q501">
            <v>10.58</v>
          </cell>
        </row>
        <row r="502">
          <cell r="A502" t="str">
            <v xml:space="preserve"> 9/30/85</v>
          </cell>
          <cell r="C502">
            <v>7.14</v>
          </cell>
          <cell r="D502">
            <v>7.44</v>
          </cell>
          <cell r="E502">
            <v>7.64</v>
          </cell>
          <cell r="F502">
            <v>7.98</v>
          </cell>
          <cell r="G502">
            <v>8.16</v>
          </cell>
          <cell r="H502">
            <v>8.64</v>
          </cell>
          <cell r="I502">
            <v>8.89</v>
          </cell>
          <cell r="J502">
            <v>9.48</v>
          </cell>
          <cell r="K502">
            <v>9.7799999999999994</v>
          </cell>
          <cell r="L502">
            <v>10.06</v>
          </cell>
          <cell r="M502">
            <v>10.39</v>
          </cell>
          <cell r="N502">
            <v>10.84</v>
          </cell>
          <cell r="O502">
            <v>11.3</v>
          </cell>
          <cell r="P502">
            <v>11.15</v>
          </cell>
          <cell r="Q502">
            <v>10.87</v>
          </cell>
        </row>
        <row r="503">
          <cell r="A503" t="str">
            <v>10/31/85</v>
          </cell>
          <cell r="C503">
            <v>7.29</v>
          </cell>
          <cell r="D503">
            <v>7.63</v>
          </cell>
          <cell r="E503">
            <v>7.67</v>
          </cell>
          <cell r="F503">
            <v>7.94</v>
          </cell>
          <cell r="G503">
            <v>8.07</v>
          </cell>
          <cell r="H503">
            <v>8.48</v>
          </cell>
          <cell r="I503">
            <v>8.68</v>
          </cell>
          <cell r="J503">
            <v>9.24</v>
          </cell>
          <cell r="K503">
            <v>9.52</v>
          </cell>
          <cell r="L503">
            <v>9.7799999999999994</v>
          </cell>
          <cell r="M503">
            <v>10.09</v>
          </cell>
          <cell r="N503">
            <v>10.51</v>
          </cell>
          <cell r="O503">
            <v>10.95</v>
          </cell>
          <cell r="P503">
            <v>10.82</v>
          </cell>
          <cell r="Q503">
            <v>10.57</v>
          </cell>
        </row>
        <row r="504">
          <cell r="A504" t="str">
            <v>11/29/85</v>
          </cell>
          <cell r="C504">
            <v>6.77</v>
          </cell>
          <cell r="D504">
            <v>7.45</v>
          </cell>
          <cell r="E504">
            <v>7.68</v>
          </cell>
          <cell r="F504">
            <v>7.81</v>
          </cell>
          <cell r="G504">
            <v>7.87</v>
          </cell>
          <cell r="H504">
            <v>8.36</v>
          </cell>
          <cell r="I504">
            <v>8.61</v>
          </cell>
          <cell r="J504">
            <v>8.94</v>
          </cell>
          <cell r="K504">
            <v>9.1</v>
          </cell>
          <cell r="L504">
            <v>9.3699999999999992</v>
          </cell>
          <cell r="M504">
            <v>9.67</v>
          </cell>
          <cell r="N504">
            <v>10.050000000000001</v>
          </cell>
          <cell r="O504">
            <v>10.43</v>
          </cell>
          <cell r="P504">
            <v>10.3</v>
          </cell>
          <cell r="Q504">
            <v>10.06</v>
          </cell>
        </row>
        <row r="505">
          <cell r="A505" t="str">
            <v>12/31/85</v>
          </cell>
          <cell r="C505">
            <v>6.08</v>
          </cell>
          <cell r="D505">
            <v>7.35</v>
          </cell>
          <cell r="E505">
            <v>7.52</v>
          </cell>
          <cell r="F505">
            <v>7.67</v>
          </cell>
          <cell r="G505">
            <v>7.74</v>
          </cell>
          <cell r="H505">
            <v>7.93</v>
          </cell>
          <cell r="I505">
            <v>8.02</v>
          </cell>
          <cell r="J505">
            <v>8.43</v>
          </cell>
          <cell r="K505">
            <v>8.64</v>
          </cell>
          <cell r="L505">
            <v>8.7899999999999991</v>
          </cell>
          <cell r="M505">
            <v>8.9499999999999993</v>
          </cell>
          <cell r="N505">
            <v>9.4</v>
          </cell>
          <cell r="O505">
            <v>9.94</v>
          </cell>
          <cell r="P505">
            <v>9.7799999999999994</v>
          </cell>
          <cell r="Q505">
            <v>9.48</v>
          </cell>
        </row>
        <row r="506">
          <cell r="A506" t="str">
            <v xml:space="preserve"> 1/31/86</v>
          </cell>
          <cell r="C506">
            <v>6.81</v>
          </cell>
          <cell r="D506">
            <v>7.39</v>
          </cell>
          <cell r="E506">
            <v>7.45</v>
          </cell>
          <cell r="F506">
            <v>7.63</v>
          </cell>
          <cell r="G506">
            <v>7.72</v>
          </cell>
          <cell r="H506">
            <v>7.91</v>
          </cell>
          <cell r="I506">
            <v>8</v>
          </cell>
          <cell r="J506">
            <v>8.4</v>
          </cell>
          <cell r="K506">
            <v>8.6</v>
          </cell>
          <cell r="L506">
            <v>8.83</v>
          </cell>
          <cell r="M506">
            <v>9.08</v>
          </cell>
          <cell r="N506">
            <v>9.52</v>
          </cell>
          <cell r="O506">
            <v>10.01</v>
          </cell>
          <cell r="P506">
            <v>9.83</v>
          </cell>
          <cell r="Q506">
            <v>9.5299999999999994</v>
          </cell>
        </row>
        <row r="507">
          <cell r="A507" t="str">
            <v xml:space="preserve"> 2/28/86</v>
          </cell>
          <cell r="C507">
            <v>6.87</v>
          </cell>
          <cell r="D507">
            <v>7.49</v>
          </cell>
          <cell r="E507">
            <v>7.47</v>
          </cell>
          <cell r="F507">
            <v>7.51</v>
          </cell>
          <cell r="G507">
            <v>7.53</v>
          </cell>
          <cell r="H507">
            <v>7.7</v>
          </cell>
          <cell r="I507">
            <v>7.78</v>
          </cell>
          <cell r="J507">
            <v>7.98</v>
          </cell>
          <cell r="K507">
            <v>8.09</v>
          </cell>
          <cell r="L507">
            <v>8.1300000000000008</v>
          </cell>
          <cell r="M507">
            <v>8.17</v>
          </cell>
          <cell r="N507">
            <v>8.42</v>
          </cell>
          <cell r="O507">
            <v>8.7200000000000006</v>
          </cell>
          <cell r="P507">
            <v>8.65</v>
          </cell>
          <cell r="Q507">
            <v>8.51</v>
          </cell>
        </row>
        <row r="508">
          <cell r="A508" t="str">
            <v xml:space="preserve"> 3/31/86</v>
          </cell>
          <cell r="C508">
            <v>6.52</v>
          </cell>
          <cell r="D508">
            <v>6.67</v>
          </cell>
          <cell r="E508">
            <v>6.72</v>
          </cell>
          <cell r="F508">
            <v>6.85</v>
          </cell>
          <cell r="G508">
            <v>6.91</v>
          </cell>
          <cell r="H508">
            <v>6.97</v>
          </cell>
          <cell r="I508">
            <v>6.99</v>
          </cell>
          <cell r="J508">
            <v>7.27</v>
          </cell>
          <cell r="K508">
            <v>7.42</v>
          </cell>
          <cell r="L508">
            <v>7.43</v>
          </cell>
          <cell r="M508">
            <v>7.44</v>
          </cell>
          <cell r="N508">
            <v>7.56</v>
          </cell>
          <cell r="O508">
            <v>7.72</v>
          </cell>
          <cell r="P508">
            <v>7.75</v>
          </cell>
          <cell r="Q508">
            <v>7.76</v>
          </cell>
        </row>
        <row r="509">
          <cell r="A509" t="str">
            <v xml:space="preserve"> 4/30/86</v>
          </cell>
          <cell r="C509">
            <v>5.55</v>
          </cell>
          <cell r="D509">
            <v>6.42</v>
          </cell>
          <cell r="E509">
            <v>6.44</v>
          </cell>
          <cell r="F509">
            <v>6.58</v>
          </cell>
          <cell r="G509">
            <v>6.65</v>
          </cell>
          <cell r="H509">
            <v>6.87</v>
          </cell>
          <cell r="I509">
            <v>6.99</v>
          </cell>
          <cell r="J509">
            <v>7.25</v>
          </cell>
          <cell r="K509">
            <v>7.38</v>
          </cell>
          <cell r="L509">
            <v>7.43</v>
          </cell>
          <cell r="M509">
            <v>7.49</v>
          </cell>
          <cell r="N509">
            <v>7.7</v>
          </cell>
          <cell r="O509">
            <v>7.96</v>
          </cell>
          <cell r="P509">
            <v>7.91</v>
          </cell>
          <cell r="Q509">
            <v>7.8</v>
          </cell>
        </row>
        <row r="510">
          <cell r="A510" t="str">
            <v xml:space="preserve"> 5/30/86</v>
          </cell>
          <cell r="C510">
            <v>6.15</v>
          </cell>
          <cell r="D510">
            <v>6.71</v>
          </cell>
          <cell r="E510">
            <v>6.68</v>
          </cell>
          <cell r="F510">
            <v>6.91</v>
          </cell>
          <cell r="G510">
            <v>7.03</v>
          </cell>
          <cell r="H510">
            <v>7.35</v>
          </cell>
          <cell r="I510">
            <v>7.51</v>
          </cell>
          <cell r="J510">
            <v>7.96</v>
          </cell>
          <cell r="K510">
            <v>8.18</v>
          </cell>
          <cell r="L510">
            <v>8.23</v>
          </cell>
          <cell r="M510">
            <v>8.2899999999999991</v>
          </cell>
          <cell r="N510">
            <v>8.56</v>
          </cell>
          <cell r="O510">
            <v>8.9</v>
          </cell>
          <cell r="P510">
            <v>8.5500000000000007</v>
          </cell>
          <cell r="Q510">
            <v>8.0399999999999991</v>
          </cell>
        </row>
        <row r="511">
          <cell r="A511" t="str">
            <v xml:space="preserve"> 6/30/86</v>
          </cell>
          <cell r="C511">
            <v>5.99</v>
          </cell>
          <cell r="D511">
            <v>6.35</v>
          </cell>
          <cell r="E511">
            <v>6.34</v>
          </cell>
          <cell r="F511">
            <v>6.49</v>
          </cell>
          <cell r="G511">
            <v>6.57</v>
          </cell>
          <cell r="H511">
            <v>6.84</v>
          </cell>
          <cell r="I511">
            <v>6.97</v>
          </cell>
          <cell r="J511">
            <v>7.38</v>
          </cell>
          <cell r="K511">
            <v>7.58</v>
          </cell>
          <cell r="L511">
            <v>7.59</v>
          </cell>
          <cell r="M511">
            <v>7.61</v>
          </cell>
          <cell r="N511">
            <v>7.86</v>
          </cell>
          <cell r="O511">
            <v>8.18</v>
          </cell>
          <cell r="P511">
            <v>7.99</v>
          </cell>
          <cell r="Q511">
            <v>7.68</v>
          </cell>
        </row>
        <row r="512">
          <cell r="A512" t="str">
            <v xml:space="preserve"> 7/31/86</v>
          </cell>
          <cell r="C512">
            <v>5.38</v>
          </cell>
          <cell r="D512">
            <v>6.08</v>
          </cell>
          <cell r="E512">
            <v>6.09</v>
          </cell>
          <cell r="F512">
            <v>6.21</v>
          </cell>
          <cell r="G512">
            <v>6.27</v>
          </cell>
          <cell r="H512">
            <v>6.54</v>
          </cell>
          <cell r="I512">
            <v>6.68</v>
          </cell>
          <cell r="J512">
            <v>7.05</v>
          </cell>
          <cell r="K512">
            <v>7.23</v>
          </cell>
          <cell r="L512">
            <v>7.38</v>
          </cell>
          <cell r="M512">
            <v>7.55</v>
          </cell>
          <cell r="N512">
            <v>7.94</v>
          </cell>
          <cell r="O512">
            <v>8.39</v>
          </cell>
          <cell r="P512">
            <v>8.2100000000000009</v>
          </cell>
          <cell r="Q512">
            <v>7.9</v>
          </cell>
        </row>
        <row r="513">
          <cell r="A513" t="str">
            <v xml:space="preserve"> 8/29/86</v>
          </cell>
          <cell r="C513">
            <v>4.79</v>
          </cell>
          <cell r="D513">
            <v>5.48</v>
          </cell>
          <cell r="E513">
            <v>5.43</v>
          </cell>
          <cell r="F513">
            <v>5.55</v>
          </cell>
          <cell r="G513">
            <v>5.61</v>
          </cell>
          <cell r="H513">
            <v>5.89</v>
          </cell>
          <cell r="I513">
            <v>6.03</v>
          </cell>
          <cell r="J513">
            <v>6.42</v>
          </cell>
          <cell r="K513">
            <v>6.62</v>
          </cell>
          <cell r="L513">
            <v>6.83</v>
          </cell>
          <cell r="M513">
            <v>7.06</v>
          </cell>
          <cell r="N513">
            <v>7.51</v>
          </cell>
          <cell r="O513">
            <v>8</v>
          </cell>
          <cell r="P513">
            <v>7.89</v>
          </cell>
          <cell r="Q513">
            <v>7.66</v>
          </cell>
        </row>
        <row r="514">
          <cell r="A514" t="str">
            <v xml:space="preserve"> 9/30/86</v>
          </cell>
          <cell r="C514">
            <v>5.22</v>
          </cell>
          <cell r="D514">
            <v>5.4</v>
          </cell>
          <cell r="E514">
            <v>5.58</v>
          </cell>
          <cell r="F514">
            <v>5.78</v>
          </cell>
          <cell r="G514">
            <v>5.88</v>
          </cell>
          <cell r="H514">
            <v>6.25</v>
          </cell>
          <cell r="I514">
            <v>6.44</v>
          </cell>
          <cell r="J514">
            <v>6.93</v>
          </cell>
          <cell r="K514">
            <v>7.18</v>
          </cell>
          <cell r="L514">
            <v>7.38</v>
          </cell>
          <cell r="M514">
            <v>7.6</v>
          </cell>
          <cell r="N514">
            <v>8.07</v>
          </cell>
          <cell r="O514">
            <v>8.6</v>
          </cell>
          <cell r="P514">
            <v>8.34</v>
          </cell>
          <cell r="Q514">
            <v>7.91</v>
          </cell>
        </row>
        <row r="515">
          <cell r="A515" t="str">
            <v>10/31/86</v>
          </cell>
          <cell r="C515">
            <v>5.23</v>
          </cell>
          <cell r="D515">
            <v>5.53</v>
          </cell>
          <cell r="E515">
            <v>5.55</v>
          </cell>
          <cell r="F515">
            <v>5.75</v>
          </cell>
          <cell r="G515">
            <v>5.85</v>
          </cell>
          <cell r="H515">
            <v>6.14</v>
          </cell>
          <cell r="I515">
            <v>6.29</v>
          </cell>
          <cell r="J515">
            <v>6.67</v>
          </cell>
          <cell r="K515">
            <v>6.86</v>
          </cell>
          <cell r="L515">
            <v>7.11</v>
          </cell>
          <cell r="M515">
            <v>7.4</v>
          </cell>
          <cell r="N515">
            <v>7.89</v>
          </cell>
          <cell r="O515">
            <v>8.42</v>
          </cell>
          <cell r="P515">
            <v>8.25</v>
          </cell>
          <cell r="Q515">
            <v>7.94</v>
          </cell>
        </row>
        <row r="516">
          <cell r="A516" t="str">
            <v>11/28/86</v>
          </cell>
          <cell r="C516">
            <v>5.27</v>
          </cell>
          <cell r="D516">
            <v>5.78</v>
          </cell>
          <cell r="E516">
            <v>5.71</v>
          </cell>
          <cell r="F516">
            <v>5.8</v>
          </cell>
          <cell r="G516">
            <v>5.85</v>
          </cell>
          <cell r="H516">
            <v>6.1</v>
          </cell>
          <cell r="I516">
            <v>6.22</v>
          </cell>
          <cell r="J516">
            <v>6.54</v>
          </cell>
          <cell r="K516">
            <v>6.71</v>
          </cell>
          <cell r="L516">
            <v>6.94</v>
          </cell>
          <cell r="M516">
            <v>7.2</v>
          </cell>
          <cell r="N516">
            <v>7.69</v>
          </cell>
          <cell r="O516">
            <v>8.23</v>
          </cell>
          <cell r="P516">
            <v>8.1</v>
          </cell>
          <cell r="Q516">
            <v>7.85</v>
          </cell>
        </row>
        <row r="517">
          <cell r="A517" t="str">
            <v>12/31/86</v>
          </cell>
          <cell r="C517">
            <v>4.92</v>
          </cell>
          <cell r="D517">
            <v>5.91</v>
          </cell>
          <cell r="E517">
            <v>5.96</v>
          </cell>
          <cell r="F517">
            <v>6.1</v>
          </cell>
          <cell r="G517">
            <v>6.17</v>
          </cell>
          <cell r="H517">
            <v>6.37</v>
          </cell>
          <cell r="I517">
            <v>6.48</v>
          </cell>
          <cell r="J517">
            <v>6.72</v>
          </cell>
          <cell r="K517">
            <v>6.84</v>
          </cell>
          <cell r="L517">
            <v>7.04</v>
          </cell>
          <cell r="M517">
            <v>7.27</v>
          </cell>
          <cell r="N517">
            <v>7.76</v>
          </cell>
          <cell r="O517">
            <v>8.31</v>
          </cell>
          <cell r="P517">
            <v>8.1999999999999993</v>
          </cell>
          <cell r="Q517">
            <v>7.96</v>
          </cell>
        </row>
        <row r="518">
          <cell r="A518" t="str">
            <v xml:space="preserve"> 1/30/87</v>
          </cell>
          <cell r="C518">
            <v>5.59</v>
          </cell>
          <cell r="D518">
            <v>5.92</v>
          </cell>
          <cell r="E518">
            <v>5.87</v>
          </cell>
          <cell r="F518">
            <v>5.98</v>
          </cell>
          <cell r="G518">
            <v>6.03</v>
          </cell>
          <cell r="H518">
            <v>6.24</v>
          </cell>
          <cell r="I518">
            <v>6.35</v>
          </cell>
          <cell r="J518">
            <v>6.6</v>
          </cell>
          <cell r="K518">
            <v>6.72</v>
          </cell>
          <cell r="L518">
            <v>6.93</v>
          </cell>
          <cell r="M518">
            <v>7.17</v>
          </cell>
          <cell r="N518">
            <v>7.63</v>
          </cell>
          <cell r="O518">
            <v>8.15</v>
          </cell>
          <cell r="P518">
            <v>8.23</v>
          </cell>
          <cell r="Q518">
            <v>8.24</v>
          </cell>
        </row>
        <row r="519">
          <cell r="A519" t="str">
            <v xml:space="preserve"> 2/27/87</v>
          </cell>
          <cell r="C519">
            <v>5.43</v>
          </cell>
          <cell r="D519">
            <v>5.78</v>
          </cell>
          <cell r="E519">
            <v>5.83</v>
          </cell>
          <cell r="F519">
            <v>6.04</v>
          </cell>
          <cell r="G519">
            <v>6.15</v>
          </cell>
          <cell r="H519">
            <v>6.3</v>
          </cell>
          <cell r="I519">
            <v>6.37</v>
          </cell>
          <cell r="J519">
            <v>6.61</v>
          </cell>
          <cell r="K519">
            <v>6.73</v>
          </cell>
          <cell r="L519">
            <v>6.93</v>
          </cell>
          <cell r="M519">
            <v>7.15</v>
          </cell>
          <cell r="N519">
            <v>7.55</v>
          </cell>
          <cell r="O519">
            <v>8</v>
          </cell>
          <cell r="P519">
            <v>8.11</v>
          </cell>
          <cell r="Q519">
            <v>8.18</v>
          </cell>
        </row>
        <row r="520">
          <cell r="A520" t="str">
            <v xml:space="preserve"> 3/31/87</v>
          </cell>
          <cell r="C520">
            <v>5.3</v>
          </cell>
          <cell r="D520">
            <v>5.85</v>
          </cell>
          <cell r="E520">
            <v>6.04</v>
          </cell>
          <cell r="F520">
            <v>6.26</v>
          </cell>
          <cell r="G520">
            <v>6.37</v>
          </cell>
          <cell r="H520">
            <v>6.55</v>
          </cell>
          <cell r="I520">
            <v>6.64</v>
          </cell>
          <cell r="J520">
            <v>6.87</v>
          </cell>
          <cell r="K520">
            <v>6.98</v>
          </cell>
          <cell r="L520">
            <v>7.21</v>
          </cell>
          <cell r="M520">
            <v>7.47</v>
          </cell>
          <cell r="N520">
            <v>7.85</v>
          </cell>
          <cell r="O520">
            <v>8.25</v>
          </cell>
          <cell r="P520">
            <v>8.3699999999999992</v>
          </cell>
          <cell r="Q520">
            <v>8.4600000000000009</v>
          </cell>
        </row>
        <row r="521">
          <cell r="A521" t="str">
            <v xml:space="preserve"> 4/30/87</v>
          </cell>
          <cell r="C521">
            <v>3.51</v>
          </cell>
          <cell r="D521">
            <v>5.74</v>
          </cell>
          <cell r="E521">
            <v>6.34</v>
          </cell>
          <cell r="F521">
            <v>6.8</v>
          </cell>
          <cell r="G521">
            <v>7.03</v>
          </cell>
          <cell r="H521">
            <v>7.32</v>
          </cell>
          <cell r="I521">
            <v>7.46</v>
          </cell>
          <cell r="J521">
            <v>7.74</v>
          </cell>
          <cell r="K521">
            <v>7.88</v>
          </cell>
          <cell r="L521">
            <v>8.0399999999999991</v>
          </cell>
          <cell r="M521">
            <v>8.2200000000000006</v>
          </cell>
          <cell r="N521">
            <v>8.52</v>
          </cell>
          <cell r="O521">
            <v>8.84</v>
          </cell>
          <cell r="P521">
            <v>8.9</v>
          </cell>
          <cell r="Q521">
            <v>8.91</v>
          </cell>
        </row>
        <row r="522">
          <cell r="A522" t="str">
            <v xml:space="preserve"> 5/29/87</v>
          </cell>
          <cell r="C522">
            <v>5.29</v>
          </cell>
          <cell r="D522">
            <v>6.04</v>
          </cell>
          <cell r="E522">
            <v>6.59</v>
          </cell>
          <cell r="F522">
            <v>7.05</v>
          </cell>
          <cell r="G522">
            <v>7.29</v>
          </cell>
          <cell r="H522">
            <v>7.63</v>
          </cell>
          <cell r="I522">
            <v>7.8</v>
          </cell>
          <cell r="J522">
            <v>8.0399999999999991</v>
          </cell>
          <cell r="K522">
            <v>8.16</v>
          </cell>
          <cell r="L522">
            <v>8.31</v>
          </cell>
          <cell r="M522">
            <v>8.48</v>
          </cell>
          <cell r="N522">
            <v>8.75</v>
          </cell>
          <cell r="O522">
            <v>9.0500000000000007</v>
          </cell>
          <cell r="P522">
            <v>9.0299999999999994</v>
          </cell>
          <cell r="Q522">
            <v>8.9600000000000009</v>
          </cell>
        </row>
        <row r="523">
          <cell r="A523" t="str">
            <v xml:space="preserve"> 6/30/87</v>
          </cell>
          <cell r="C523">
            <v>5.07</v>
          </cell>
          <cell r="D523">
            <v>6.07</v>
          </cell>
          <cell r="E523">
            <v>6.47</v>
          </cell>
          <cell r="F523">
            <v>6.83</v>
          </cell>
          <cell r="G523">
            <v>7.01</v>
          </cell>
          <cell r="H523">
            <v>7.34</v>
          </cell>
          <cell r="I523">
            <v>7.5</v>
          </cell>
          <cell r="J523">
            <v>7.84</v>
          </cell>
          <cell r="K523">
            <v>8.01</v>
          </cell>
          <cell r="L523">
            <v>8.19</v>
          </cell>
          <cell r="M523">
            <v>8.4</v>
          </cell>
          <cell r="N523">
            <v>8.7100000000000009</v>
          </cell>
          <cell r="O523">
            <v>9.0500000000000007</v>
          </cell>
          <cell r="P523">
            <v>9.02</v>
          </cell>
          <cell r="Q523">
            <v>8.92</v>
          </cell>
        </row>
        <row r="524">
          <cell r="A524" t="str">
            <v xml:space="preserve"> 7/31/87</v>
          </cell>
          <cell r="C524">
            <v>5.37</v>
          </cell>
          <cell r="D524">
            <v>6.49</v>
          </cell>
          <cell r="E524">
            <v>6.56</v>
          </cell>
          <cell r="F524">
            <v>6.89</v>
          </cell>
          <cell r="G524">
            <v>7.05</v>
          </cell>
          <cell r="H524">
            <v>7.43</v>
          </cell>
          <cell r="I524">
            <v>7.61</v>
          </cell>
          <cell r="J524">
            <v>7.99</v>
          </cell>
          <cell r="K524">
            <v>8.18</v>
          </cell>
          <cell r="L524">
            <v>8.4</v>
          </cell>
          <cell r="M524">
            <v>8.64</v>
          </cell>
          <cell r="N524">
            <v>9.01</v>
          </cell>
          <cell r="O524">
            <v>9.4</v>
          </cell>
          <cell r="P524">
            <v>9.3800000000000008</v>
          </cell>
          <cell r="Q524">
            <v>9.2799999999999994</v>
          </cell>
        </row>
        <row r="525">
          <cell r="A525" t="str">
            <v xml:space="preserve"> 8/31/87</v>
          </cell>
          <cell r="C525">
            <v>5.75</v>
          </cell>
          <cell r="D525">
            <v>6.68</v>
          </cell>
          <cell r="E525">
            <v>6.81</v>
          </cell>
          <cell r="F525">
            <v>7.2</v>
          </cell>
          <cell r="G525">
            <v>7.4</v>
          </cell>
          <cell r="H525">
            <v>7.79</v>
          </cell>
          <cell r="I525">
            <v>7.99</v>
          </cell>
          <cell r="J525">
            <v>8.3000000000000007</v>
          </cell>
          <cell r="K525">
            <v>8.4600000000000009</v>
          </cell>
          <cell r="L525">
            <v>8.69</v>
          </cell>
          <cell r="M525">
            <v>8.9600000000000009</v>
          </cell>
          <cell r="N525">
            <v>9.2899999999999991</v>
          </cell>
          <cell r="O525">
            <v>9.61</v>
          </cell>
          <cell r="P525">
            <v>9.61</v>
          </cell>
          <cell r="Q525">
            <v>9.5500000000000007</v>
          </cell>
        </row>
        <row r="526">
          <cell r="A526" t="str">
            <v xml:space="preserve"> 9/30/87</v>
          </cell>
          <cell r="C526">
            <v>6.58</v>
          </cell>
          <cell r="D526">
            <v>6.88</v>
          </cell>
          <cell r="E526">
            <v>7.49</v>
          </cell>
          <cell r="F526">
            <v>7.88</v>
          </cell>
          <cell r="G526">
            <v>8.07</v>
          </cell>
          <cell r="H526">
            <v>8.4700000000000006</v>
          </cell>
          <cell r="I526">
            <v>8.67</v>
          </cell>
          <cell r="J526">
            <v>9.02</v>
          </cell>
          <cell r="K526">
            <v>9.19</v>
          </cell>
          <cell r="L526">
            <v>9.39</v>
          </cell>
          <cell r="M526">
            <v>9.6199999999999992</v>
          </cell>
          <cell r="N526">
            <v>9.89</v>
          </cell>
          <cell r="O526">
            <v>10.16</v>
          </cell>
          <cell r="P526">
            <v>10.14</v>
          </cell>
          <cell r="Q526">
            <v>10.08</v>
          </cell>
        </row>
        <row r="527">
          <cell r="A527" t="str">
            <v>10/30/87</v>
          </cell>
          <cell r="C527">
            <v>4.41</v>
          </cell>
          <cell r="D527">
            <v>5.78</v>
          </cell>
          <cell r="E527">
            <v>6.56</v>
          </cell>
          <cell r="F527">
            <v>6.98</v>
          </cell>
          <cell r="G527">
            <v>7.19</v>
          </cell>
          <cell r="H527">
            <v>7.59</v>
          </cell>
          <cell r="I527">
            <v>7.79</v>
          </cell>
          <cell r="J527">
            <v>8.2100000000000009</v>
          </cell>
          <cell r="K527">
            <v>8.42</v>
          </cell>
          <cell r="L527">
            <v>8.67</v>
          </cell>
          <cell r="M527">
            <v>8.9600000000000009</v>
          </cell>
          <cell r="N527">
            <v>9.2100000000000009</v>
          </cell>
          <cell r="O527">
            <v>9.42</v>
          </cell>
          <cell r="P527">
            <v>9.42</v>
          </cell>
          <cell r="Q527">
            <v>9.39</v>
          </cell>
        </row>
        <row r="528">
          <cell r="A528" t="str">
            <v>11/30/87</v>
          </cell>
          <cell r="C528">
            <v>3.84</v>
          </cell>
          <cell r="D528">
            <v>5.85</v>
          </cell>
          <cell r="E528">
            <v>6.63</v>
          </cell>
          <cell r="F528">
            <v>7.05</v>
          </cell>
          <cell r="G528">
            <v>7.25</v>
          </cell>
          <cell r="H528">
            <v>7.62</v>
          </cell>
          <cell r="I528">
            <v>7.8</v>
          </cell>
          <cell r="J528">
            <v>8.2200000000000006</v>
          </cell>
          <cell r="K528">
            <v>8.43</v>
          </cell>
          <cell r="L528">
            <v>8.7100000000000009</v>
          </cell>
          <cell r="M528">
            <v>9.02</v>
          </cell>
          <cell r="N528">
            <v>9.3000000000000007</v>
          </cell>
          <cell r="O528">
            <v>9.5500000000000007</v>
          </cell>
          <cell r="P528">
            <v>9.49</v>
          </cell>
          <cell r="Q528">
            <v>9.3800000000000008</v>
          </cell>
        </row>
        <row r="529">
          <cell r="A529" t="str">
            <v>12/31/87</v>
          </cell>
          <cell r="C529">
            <v>3.74</v>
          </cell>
          <cell r="D529">
            <v>6</v>
          </cell>
          <cell r="E529">
            <v>6.66</v>
          </cell>
          <cell r="F529">
            <v>7.17</v>
          </cell>
          <cell r="G529">
            <v>7.43</v>
          </cell>
          <cell r="H529">
            <v>7.72</v>
          </cell>
          <cell r="I529">
            <v>7.86</v>
          </cell>
          <cell r="J529">
            <v>8.19</v>
          </cell>
          <cell r="K529">
            <v>8.35</v>
          </cell>
          <cell r="L529">
            <v>8.6</v>
          </cell>
          <cell r="M529">
            <v>8.8800000000000008</v>
          </cell>
          <cell r="N529">
            <v>9.16</v>
          </cell>
          <cell r="O529">
            <v>9.42</v>
          </cell>
          <cell r="P529">
            <v>9.3800000000000008</v>
          </cell>
          <cell r="Q529">
            <v>9.2799999999999994</v>
          </cell>
        </row>
        <row r="530">
          <cell r="A530" t="str">
            <v xml:space="preserve"> 1/29/88</v>
          </cell>
          <cell r="C530">
            <v>4.5599999999999996</v>
          </cell>
          <cell r="D530">
            <v>6.2</v>
          </cell>
          <cell r="E530">
            <v>6.48</v>
          </cell>
          <cell r="F530">
            <v>6.75</v>
          </cell>
          <cell r="G530">
            <v>6.89</v>
          </cell>
          <cell r="H530">
            <v>7.14</v>
          </cell>
          <cell r="I530">
            <v>7.26</v>
          </cell>
          <cell r="J530">
            <v>7.54</v>
          </cell>
          <cell r="K530">
            <v>7.68</v>
          </cell>
          <cell r="L530">
            <v>7.93</v>
          </cell>
          <cell r="M530">
            <v>8.2200000000000006</v>
          </cell>
          <cell r="N530">
            <v>8.52</v>
          </cell>
          <cell r="O530">
            <v>8.81</v>
          </cell>
          <cell r="P530">
            <v>8.69</v>
          </cell>
          <cell r="Q530">
            <v>8.48</v>
          </cell>
        </row>
        <row r="531">
          <cell r="A531" t="str">
            <v xml:space="preserve"> 2/29/88</v>
          </cell>
          <cell r="C531">
            <v>5.3</v>
          </cell>
          <cell r="D531">
            <v>6.01</v>
          </cell>
          <cell r="E531">
            <v>6.3</v>
          </cell>
          <cell r="F531">
            <v>6.61</v>
          </cell>
          <cell r="G531">
            <v>6.77</v>
          </cell>
          <cell r="H531">
            <v>7.04</v>
          </cell>
          <cell r="I531">
            <v>7.17</v>
          </cell>
          <cell r="J531">
            <v>7.41</v>
          </cell>
          <cell r="K531">
            <v>7.52</v>
          </cell>
          <cell r="L531">
            <v>7.79</v>
          </cell>
          <cell r="M531">
            <v>8.1</v>
          </cell>
          <cell r="N531">
            <v>8.4600000000000009</v>
          </cell>
          <cell r="O531">
            <v>8.81</v>
          </cell>
          <cell r="P531">
            <v>8.67</v>
          </cell>
          <cell r="Q531">
            <v>8.43</v>
          </cell>
        </row>
        <row r="532">
          <cell r="A532" t="str">
            <v xml:space="preserve"> 3/31/88</v>
          </cell>
          <cell r="C532">
            <v>5.47</v>
          </cell>
          <cell r="D532">
            <v>6.11</v>
          </cell>
          <cell r="E532">
            <v>6.47</v>
          </cell>
          <cell r="F532">
            <v>6.83</v>
          </cell>
          <cell r="G532">
            <v>7.01</v>
          </cell>
          <cell r="H532">
            <v>7.28</v>
          </cell>
          <cell r="I532">
            <v>7.42</v>
          </cell>
          <cell r="J532">
            <v>7.77</v>
          </cell>
          <cell r="K532">
            <v>7.94</v>
          </cell>
          <cell r="L532">
            <v>8.2100000000000009</v>
          </cell>
          <cell r="M532">
            <v>8.5299999999999994</v>
          </cell>
          <cell r="N532">
            <v>8.91</v>
          </cell>
          <cell r="O532">
            <v>9.2799999999999994</v>
          </cell>
          <cell r="P532">
            <v>9.14</v>
          </cell>
          <cell r="Q532">
            <v>8.89</v>
          </cell>
        </row>
        <row r="533">
          <cell r="A533" t="str">
            <v xml:space="preserve"> 4/29/88</v>
          </cell>
          <cell r="C533">
            <v>5.71</v>
          </cell>
          <cell r="D533">
            <v>6.42</v>
          </cell>
          <cell r="E533">
            <v>6.72</v>
          </cell>
          <cell r="F533">
            <v>7.09</v>
          </cell>
          <cell r="G533">
            <v>7.29</v>
          </cell>
          <cell r="H533">
            <v>7.6</v>
          </cell>
          <cell r="I533">
            <v>7.76</v>
          </cell>
          <cell r="J533">
            <v>8.08</v>
          </cell>
          <cell r="K533">
            <v>8.24</v>
          </cell>
          <cell r="L533">
            <v>8.5</v>
          </cell>
          <cell r="M533">
            <v>8.7899999999999991</v>
          </cell>
          <cell r="N533">
            <v>9.18</v>
          </cell>
          <cell r="O533">
            <v>9.58</v>
          </cell>
          <cell r="P533">
            <v>9.4499999999999993</v>
          </cell>
          <cell r="Q533">
            <v>9.23</v>
          </cell>
        </row>
        <row r="534">
          <cell r="A534" t="str">
            <v xml:space="preserve"> 5/31/88</v>
          </cell>
          <cell r="C534">
            <v>6.04</v>
          </cell>
          <cell r="D534">
            <v>6.86</v>
          </cell>
          <cell r="E534">
            <v>7.24</v>
          </cell>
          <cell r="F534">
            <v>7.63</v>
          </cell>
          <cell r="G534">
            <v>7.82</v>
          </cell>
          <cell r="H534">
            <v>8.1</v>
          </cell>
          <cell r="I534">
            <v>8.24</v>
          </cell>
          <cell r="J534">
            <v>8.49</v>
          </cell>
          <cell r="K534">
            <v>8.6199999999999992</v>
          </cell>
          <cell r="L534">
            <v>8.85</v>
          </cell>
          <cell r="M534">
            <v>9.11</v>
          </cell>
          <cell r="N534">
            <v>9.44</v>
          </cell>
          <cell r="O534">
            <v>9.77</v>
          </cell>
          <cell r="P534">
            <v>9.64</v>
          </cell>
          <cell r="Q534">
            <v>9.43</v>
          </cell>
        </row>
        <row r="535">
          <cell r="A535" t="str">
            <v xml:space="preserve"> 6/30/88</v>
          </cell>
          <cell r="C535">
            <v>6.4</v>
          </cell>
          <cell r="D535">
            <v>6.85</v>
          </cell>
          <cell r="E535">
            <v>7.19</v>
          </cell>
          <cell r="F535">
            <v>7.52</v>
          </cell>
          <cell r="G535">
            <v>7.69</v>
          </cell>
          <cell r="H535">
            <v>7.93</v>
          </cell>
          <cell r="I535">
            <v>8.0500000000000007</v>
          </cell>
          <cell r="J535">
            <v>8.24</v>
          </cell>
          <cell r="K535">
            <v>8.34</v>
          </cell>
          <cell r="L535">
            <v>8.52</v>
          </cell>
          <cell r="M535">
            <v>8.74</v>
          </cell>
          <cell r="N535">
            <v>9.0500000000000007</v>
          </cell>
          <cell r="O535">
            <v>9.3800000000000008</v>
          </cell>
          <cell r="P535">
            <v>9.26</v>
          </cell>
          <cell r="Q535">
            <v>9.0500000000000007</v>
          </cell>
        </row>
        <row r="536">
          <cell r="A536" t="str">
            <v xml:space="preserve"> 7/29/88</v>
          </cell>
          <cell r="C536">
            <v>6.32</v>
          </cell>
          <cell r="D536">
            <v>7.35</v>
          </cell>
          <cell r="E536">
            <v>7.62</v>
          </cell>
          <cell r="F536">
            <v>7.93</v>
          </cell>
          <cell r="G536">
            <v>8.09</v>
          </cell>
          <cell r="H536">
            <v>8.33</v>
          </cell>
          <cell r="I536">
            <v>8.4499999999999993</v>
          </cell>
          <cell r="J536">
            <v>8.58</v>
          </cell>
          <cell r="K536">
            <v>8.64</v>
          </cell>
          <cell r="L536">
            <v>8.83</v>
          </cell>
          <cell r="M536">
            <v>9.06</v>
          </cell>
          <cell r="N536">
            <v>9.36</v>
          </cell>
          <cell r="O536">
            <v>9.66</v>
          </cell>
          <cell r="P536">
            <v>9.59</v>
          </cell>
          <cell r="Q536">
            <v>9.4499999999999993</v>
          </cell>
        </row>
        <row r="537">
          <cell r="A537" t="str">
            <v xml:space="preserve"> 8/31/88</v>
          </cell>
          <cell r="C537">
            <v>7.55</v>
          </cell>
          <cell r="D537">
            <v>7.76</v>
          </cell>
          <cell r="E537">
            <v>8.1</v>
          </cell>
          <cell r="F537">
            <v>8.3699999999999992</v>
          </cell>
          <cell r="G537">
            <v>8.51</v>
          </cell>
          <cell r="H537">
            <v>8.67</v>
          </cell>
          <cell r="I537">
            <v>8.75</v>
          </cell>
          <cell r="J537">
            <v>8.85</v>
          </cell>
          <cell r="K537">
            <v>8.9</v>
          </cell>
          <cell r="L537">
            <v>9.0399999999999991</v>
          </cell>
          <cell r="M537">
            <v>9.19</v>
          </cell>
          <cell r="N537">
            <v>9.4</v>
          </cell>
          <cell r="O537">
            <v>9.6199999999999992</v>
          </cell>
          <cell r="P537">
            <v>9.57</v>
          </cell>
          <cell r="Q537">
            <v>9.4700000000000006</v>
          </cell>
        </row>
        <row r="538">
          <cell r="A538" t="str">
            <v xml:space="preserve"> 9/30/88</v>
          </cell>
          <cell r="C538">
            <v>7.27</v>
          </cell>
          <cell r="D538">
            <v>7.75</v>
          </cell>
          <cell r="E538">
            <v>8</v>
          </cell>
          <cell r="F538">
            <v>8.2100000000000009</v>
          </cell>
          <cell r="G538">
            <v>8.32</v>
          </cell>
          <cell r="H538">
            <v>8.42</v>
          </cell>
          <cell r="I538">
            <v>8.4600000000000009</v>
          </cell>
          <cell r="J538">
            <v>8.5399999999999991</v>
          </cell>
          <cell r="K538">
            <v>8.57</v>
          </cell>
          <cell r="L538">
            <v>8.69</v>
          </cell>
          <cell r="M538">
            <v>8.82</v>
          </cell>
          <cell r="N538">
            <v>9.0500000000000007</v>
          </cell>
          <cell r="O538">
            <v>9.31</v>
          </cell>
          <cell r="P538">
            <v>9.25</v>
          </cell>
          <cell r="Q538">
            <v>9.1199999999999992</v>
          </cell>
        </row>
        <row r="539">
          <cell r="A539" t="str">
            <v>10/31/88</v>
          </cell>
          <cell r="C539">
            <v>6.99</v>
          </cell>
          <cell r="D539">
            <v>7.74</v>
          </cell>
          <cell r="E539">
            <v>7.98</v>
          </cell>
          <cell r="F539">
            <v>8.11</v>
          </cell>
          <cell r="G539">
            <v>8.18</v>
          </cell>
          <cell r="H539">
            <v>8.24</v>
          </cell>
          <cell r="I539">
            <v>8.27</v>
          </cell>
          <cell r="J539">
            <v>8.3000000000000007</v>
          </cell>
          <cell r="K539">
            <v>8.32</v>
          </cell>
          <cell r="L539">
            <v>8.44</v>
          </cell>
          <cell r="M539">
            <v>8.57</v>
          </cell>
          <cell r="N539">
            <v>8.8000000000000007</v>
          </cell>
          <cell r="O539">
            <v>9.0500000000000007</v>
          </cell>
          <cell r="P539">
            <v>8.9600000000000009</v>
          </cell>
          <cell r="Q539">
            <v>8.8000000000000007</v>
          </cell>
        </row>
        <row r="540">
          <cell r="A540" t="str">
            <v>11/30/88</v>
          </cell>
          <cell r="C540">
            <v>6.75</v>
          </cell>
          <cell r="D540">
            <v>8.2899999999999991</v>
          </cell>
          <cell r="E540">
            <v>8.58</v>
          </cell>
          <cell r="F540">
            <v>8.7200000000000006</v>
          </cell>
          <cell r="G540">
            <v>8.7899999999999991</v>
          </cell>
          <cell r="H540">
            <v>8.84</v>
          </cell>
          <cell r="I540">
            <v>8.8699999999999992</v>
          </cell>
          <cell r="J540">
            <v>8.89</v>
          </cell>
          <cell r="K540">
            <v>8.91</v>
          </cell>
          <cell r="L540">
            <v>8.9700000000000006</v>
          </cell>
          <cell r="M540">
            <v>9.0500000000000007</v>
          </cell>
          <cell r="N540">
            <v>9.17</v>
          </cell>
          <cell r="O540">
            <v>9.32</v>
          </cell>
          <cell r="P540">
            <v>9.2200000000000006</v>
          </cell>
          <cell r="Q540">
            <v>9.08</v>
          </cell>
        </row>
        <row r="541">
          <cell r="A541" t="str">
            <v>12/30/88</v>
          </cell>
          <cell r="C541">
            <v>5.77</v>
          </cell>
          <cell r="D541">
            <v>8.5299999999999994</v>
          </cell>
          <cell r="E541">
            <v>8.89</v>
          </cell>
          <cell r="F541">
            <v>9.1</v>
          </cell>
          <cell r="G541">
            <v>9.2100000000000009</v>
          </cell>
          <cell r="H541">
            <v>9.19</v>
          </cell>
          <cell r="I541">
            <v>9.18</v>
          </cell>
          <cell r="J541">
            <v>9.19</v>
          </cell>
          <cell r="K541">
            <v>9.19</v>
          </cell>
          <cell r="L541">
            <v>9.1999999999999993</v>
          </cell>
          <cell r="M541">
            <v>9.2100000000000009</v>
          </cell>
          <cell r="N541">
            <v>9.19</v>
          </cell>
          <cell r="O541">
            <v>9.17</v>
          </cell>
          <cell r="P541">
            <v>9.0399999999999991</v>
          </cell>
          <cell r="Q541">
            <v>8.86</v>
          </cell>
        </row>
        <row r="542">
          <cell r="A542" t="str">
            <v xml:space="preserve"> 1/31/89</v>
          </cell>
          <cell r="C542">
            <v>8.09</v>
          </cell>
          <cell r="D542">
            <v>8.86</v>
          </cell>
          <cell r="E542">
            <v>8.94</v>
          </cell>
          <cell r="F542">
            <v>9.08</v>
          </cell>
          <cell r="G542">
            <v>9.15</v>
          </cell>
          <cell r="H542">
            <v>9.14</v>
          </cell>
          <cell r="I542">
            <v>9.1300000000000008</v>
          </cell>
          <cell r="J542">
            <v>9.1300000000000008</v>
          </cell>
          <cell r="K542">
            <v>9.1199999999999992</v>
          </cell>
          <cell r="L542">
            <v>9.08</v>
          </cell>
          <cell r="M542">
            <v>9.0299999999999994</v>
          </cell>
          <cell r="N542">
            <v>9.01</v>
          </cell>
          <cell r="O542">
            <v>8.99</v>
          </cell>
          <cell r="P542">
            <v>8.85</v>
          </cell>
          <cell r="Q542">
            <v>8.67</v>
          </cell>
        </row>
        <row r="543">
          <cell r="A543" t="str">
            <v xml:space="preserve"> 2/28/89</v>
          </cell>
          <cell r="C543">
            <v>7.72</v>
          </cell>
          <cell r="D543">
            <v>9.17</v>
          </cell>
          <cell r="E543">
            <v>9.32</v>
          </cell>
          <cell r="F543">
            <v>9.5399999999999991</v>
          </cell>
          <cell r="G543">
            <v>9.66</v>
          </cell>
          <cell r="H543">
            <v>9.6</v>
          </cell>
          <cell r="I543">
            <v>9.58</v>
          </cell>
          <cell r="J543">
            <v>9.5500000000000007</v>
          </cell>
          <cell r="K543">
            <v>9.5299999999999994</v>
          </cell>
          <cell r="L543">
            <v>9.4600000000000009</v>
          </cell>
          <cell r="M543">
            <v>9.3800000000000008</v>
          </cell>
          <cell r="N543">
            <v>9.35</v>
          </cell>
          <cell r="O543">
            <v>9.33</v>
          </cell>
          <cell r="P543">
            <v>9.16</v>
          </cell>
          <cell r="Q543">
            <v>8.9499999999999993</v>
          </cell>
        </row>
        <row r="544">
          <cell r="A544" t="str">
            <v xml:space="preserve"> 3/31/89</v>
          </cell>
          <cell r="C544">
            <v>8.9499999999999993</v>
          </cell>
          <cell r="D544">
            <v>9.3800000000000008</v>
          </cell>
          <cell r="E544">
            <v>9.58</v>
          </cell>
          <cell r="F544">
            <v>9.82</v>
          </cell>
          <cell r="G544">
            <v>9.94</v>
          </cell>
          <cell r="H544">
            <v>9.83</v>
          </cell>
          <cell r="I544">
            <v>9.77</v>
          </cell>
          <cell r="J544">
            <v>9.7100000000000009</v>
          </cell>
          <cell r="K544">
            <v>9.67</v>
          </cell>
          <cell r="L544">
            <v>9.5299999999999994</v>
          </cell>
          <cell r="M544">
            <v>9.36</v>
          </cell>
          <cell r="N544">
            <v>9.2799999999999994</v>
          </cell>
          <cell r="O544">
            <v>9.24</v>
          </cell>
          <cell r="P544">
            <v>9.1</v>
          </cell>
          <cell r="Q544">
            <v>8.92</v>
          </cell>
        </row>
        <row r="545">
          <cell r="A545" t="str">
            <v xml:space="preserve"> 4/28/89</v>
          </cell>
          <cell r="C545">
            <v>8.73</v>
          </cell>
          <cell r="D545">
            <v>8.9700000000000006</v>
          </cell>
          <cell r="E545">
            <v>9.09</v>
          </cell>
          <cell r="F545">
            <v>9.27</v>
          </cell>
          <cell r="G545">
            <v>9.36</v>
          </cell>
          <cell r="H545">
            <v>9.2799999999999994</v>
          </cell>
          <cell r="I545">
            <v>9.25</v>
          </cell>
          <cell r="J545">
            <v>9.19</v>
          </cell>
          <cell r="K545">
            <v>9.16</v>
          </cell>
          <cell r="L545">
            <v>9.1199999999999992</v>
          </cell>
          <cell r="M545">
            <v>9.07</v>
          </cell>
          <cell r="N545">
            <v>9.08</v>
          </cell>
          <cell r="O545">
            <v>9.11</v>
          </cell>
          <cell r="P545">
            <v>8.9600000000000009</v>
          </cell>
          <cell r="Q545">
            <v>8.76</v>
          </cell>
        </row>
        <row r="546">
          <cell r="A546" t="str">
            <v xml:space="preserve"> 5/31/89</v>
          </cell>
          <cell r="C546">
            <v>8.58</v>
          </cell>
          <cell r="D546">
            <v>9.08</v>
          </cell>
          <cell r="E546">
            <v>8.9600000000000009</v>
          </cell>
          <cell r="F546">
            <v>9.02</v>
          </cell>
          <cell r="G546">
            <v>9.0500000000000007</v>
          </cell>
          <cell r="H546">
            <v>8.89</v>
          </cell>
          <cell r="I546">
            <v>8.8000000000000007</v>
          </cell>
          <cell r="J546">
            <v>8.8000000000000007</v>
          </cell>
          <cell r="K546">
            <v>8.81</v>
          </cell>
          <cell r="L546">
            <v>8.73</v>
          </cell>
          <cell r="M546">
            <v>8.66</v>
          </cell>
          <cell r="N546">
            <v>8.6999999999999993</v>
          </cell>
          <cell r="O546">
            <v>8.7899999999999991</v>
          </cell>
          <cell r="P546">
            <v>8.68</v>
          </cell>
          <cell r="Q546">
            <v>8.52</v>
          </cell>
        </row>
        <row r="547">
          <cell r="A547" t="str">
            <v xml:space="preserve"> 6/30/89</v>
          </cell>
          <cell r="C547">
            <v>8.43</v>
          </cell>
          <cell r="D547">
            <v>8.4600000000000009</v>
          </cell>
          <cell r="E547">
            <v>8.26</v>
          </cell>
          <cell r="F547">
            <v>8.34</v>
          </cell>
          <cell r="G547">
            <v>8.3800000000000008</v>
          </cell>
          <cell r="H547">
            <v>8.17</v>
          </cell>
          <cell r="I547">
            <v>8.07</v>
          </cell>
          <cell r="J547">
            <v>8.11</v>
          </cell>
          <cell r="K547">
            <v>8.1300000000000008</v>
          </cell>
          <cell r="L547">
            <v>8.14</v>
          </cell>
          <cell r="M547">
            <v>8.16</v>
          </cell>
          <cell r="N547">
            <v>8.2100000000000009</v>
          </cell>
          <cell r="O547">
            <v>8.2799999999999994</v>
          </cell>
          <cell r="P547">
            <v>8.14</v>
          </cell>
          <cell r="Q547">
            <v>7.94</v>
          </cell>
        </row>
        <row r="548">
          <cell r="A548" t="str">
            <v xml:space="preserve"> 7/31/89</v>
          </cell>
          <cell r="C548">
            <v>8.02</v>
          </cell>
          <cell r="D548">
            <v>8.16</v>
          </cell>
          <cell r="E548">
            <v>7.87</v>
          </cell>
          <cell r="F548">
            <v>7.86</v>
          </cell>
          <cell r="G548">
            <v>7.85</v>
          </cell>
          <cell r="H548">
            <v>7.65</v>
          </cell>
          <cell r="I548">
            <v>7.55</v>
          </cell>
          <cell r="J548">
            <v>7.58</v>
          </cell>
          <cell r="K548">
            <v>7.59</v>
          </cell>
          <cell r="L548">
            <v>7.68</v>
          </cell>
          <cell r="M548">
            <v>7.78</v>
          </cell>
          <cell r="N548">
            <v>7.97</v>
          </cell>
          <cell r="O548">
            <v>8.18</v>
          </cell>
          <cell r="P548">
            <v>8.07</v>
          </cell>
          <cell r="Q548">
            <v>7.88</v>
          </cell>
        </row>
        <row r="549">
          <cell r="A549" t="str">
            <v xml:space="preserve"> 8/31/89</v>
          </cell>
          <cell r="C549">
            <v>7.9</v>
          </cell>
          <cell r="D549">
            <v>8.26</v>
          </cell>
          <cell r="E549">
            <v>8.32</v>
          </cell>
          <cell r="F549">
            <v>8.44</v>
          </cell>
          <cell r="G549">
            <v>8.5</v>
          </cell>
          <cell r="H549">
            <v>8.41</v>
          </cell>
          <cell r="I549">
            <v>8.36</v>
          </cell>
          <cell r="J549">
            <v>8.3699999999999992</v>
          </cell>
          <cell r="K549">
            <v>8.3699999999999992</v>
          </cell>
          <cell r="L549">
            <v>8.34</v>
          </cell>
          <cell r="M549">
            <v>8.31</v>
          </cell>
          <cell r="N549">
            <v>8.35</v>
          </cell>
          <cell r="O549">
            <v>8.43</v>
          </cell>
          <cell r="P549">
            <v>8.31</v>
          </cell>
          <cell r="Q549">
            <v>8.1300000000000008</v>
          </cell>
        </row>
        <row r="550">
          <cell r="A550" t="str">
            <v xml:space="preserve"> 9/29/89</v>
          </cell>
          <cell r="C550">
            <v>7.86</v>
          </cell>
          <cell r="D550">
            <v>8.35</v>
          </cell>
          <cell r="E550">
            <v>8.49</v>
          </cell>
          <cell r="F550">
            <v>8.57</v>
          </cell>
          <cell r="G550">
            <v>8.6199999999999992</v>
          </cell>
          <cell r="H550">
            <v>8.49</v>
          </cell>
          <cell r="I550">
            <v>8.42</v>
          </cell>
          <cell r="J550">
            <v>8.4600000000000009</v>
          </cell>
          <cell r="K550">
            <v>8.48</v>
          </cell>
          <cell r="L550">
            <v>8.43</v>
          </cell>
          <cell r="M550">
            <v>8.3800000000000008</v>
          </cell>
          <cell r="N550">
            <v>8.41</v>
          </cell>
          <cell r="O550">
            <v>8.48</v>
          </cell>
          <cell r="P550">
            <v>8.35</v>
          </cell>
          <cell r="Q550">
            <v>8.17</v>
          </cell>
        </row>
        <row r="551">
          <cell r="A551" t="str">
            <v>10/31/89</v>
          </cell>
          <cell r="C551">
            <v>7.87</v>
          </cell>
          <cell r="D551">
            <v>8.1300000000000008</v>
          </cell>
          <cell r="E551">
            <v>8.09</v>
          </cell>
          <cell r="F551">
            <v>8.0500000000000007</v>
          </cell>
          <cell r="G551">
            <v>8.0299999999999994</v>
          </cell>
          <cell r="H551">
            <v>7.92</v>
          </cell>
          <cell r="I551">
            <v>7.86</v>
          </cell>
          <cell r="J551">
            <v>7.93</v>
          </cell>
          <cell r="K551">
            <v>7.96</v>
          </cell>
          <cell r="L551">
            <v>7.97</v>
          </cell>
          <cell r="M551">
            <v>7.99</v>
          </cell>
          <cell r="N551">
            <v>8.06</v>
          </cell>
          <cell r="O551">
            <v>8.15</v>
          </cell>
          <cell r="P551">
            <v>8.0299999999999994</v>
          </cell>
          <cell r="Q551">
            <v>7.87</v>
          </cell>
        </row>
        <row r="552">
          <cell r="A552" t="str">
            <v>11/30/89</v>
          </cell>
          <cell r="C552">
            <v>6.55</v>
          </cell>
          <cell r="D552">
            <v>7.95</v>
          </cell>
          <cell r="E552">
            <v>7.9</v>
          </cell>
          <cell r="F552">
            <v>7.87</v>
          </cell>
          <cell r="G552">
            <v>7.85</v>
          </cell>
          <cell r="H552">
            <v>7.77</v>
          </cell>
          <cell r="I552">
            <v>7.74</v>
          </cell>
          <cell r="J552">
            <v>7.82</v>
          </cell>
          <cell r="K552">
            <v>7.86</v>
          </cell>
          <cell r="L552">
            <v>7.88</v>
          </cell>
          <cell r="M552">
            <v>7.9</v>
          </cell>
          <cell r="N552">
            <v>8.02</v>
          </cell>
          <cell r="O552">
            <v>8.17</v>
          </cell>
          <cell r="P552">
            <v>8.0299999999999994</v>
          </cell>
          <cell r="Q552">
            <v>7.83</v>
          </cell>
        </row>
        <row r="553">
          <cell r="A553" t="str">
            <v>12/29/89</v>
          </cell>
          <cell r="C553">
            <v>6.64</v>
          </cell>
          <cell r="D553">
            <v>8.06</v>
          </cell>
          <cell r="E553">
            <v>7.99</v>
          </cell>
          <cell r="F553">
            <v>8</v>
          </cell>
          <cell r="G553">
            <v>8</v>
          </cell>
          <cell r="H553">
            <v>7.94</v>
          </cell>
          <cell r="I553">
            <v>7.91</v>
          </cell>
          <cell r="J553">
            <v>7.95</v>
          </cell>
          <cell r="K553">
            <v>7.97</v>
          </cell>
          <cell r="L553">
            <v>7.99</v>
          </cell>
          <cell r="M553">
            <v>8.01</v>
          </cell>
          <cell r="N553">
            <v>8.1199999999999992</v>
          </cell>
          <cell r="O553">
            <v>8.25</v>
          </cell>
          <cell r="P553">
            <v>8.1</v>
          </cell>
          <cell r="Q553">
            <v>7.89</v>
          </cell>
        </row>
        <row r="554">
          <cell r="A554" t="str">
            <v xml:space="preserve"> 1/31/90</v>
          </cell>
          <cell r="C554">
            <v>7.47</v>
          </cell>
          <cell r="D554">
            <v>8.19</v>
          </cell>
          <cell r="E554">
            <v>8.1999999999999993</v>
          </cell>
          <cell r="F554">
            <v>8.23</v>
          </cell>
          <cell r="G554">
            <v>8.25</v>
          </cell>
          <cell r="H554">
            <v>8.3000000000000007</v>
          </cell>
          <cell r="I554">
            <v>8.33</v>
          </cell>
          <cell r="J554">
            <v>8.4</v>
          </cell>
          <cell r="K554">
            <v>8.44</v>
          </cell>
          <cell r="L554">
            <v>8.4499999999999993</v>
          </cell>
          <cell r="M554">
            <v>8.4700000000000006</v>
          </cell>
          <cell r="N554">
            <v>8.6199999999999992</v>
          </cell>
          <cell r="O554">
            <v>8.81</v>
          </cell>
          <cell r="P554">
            <v>8.61</v>
          </cell>
          <cell r="Q554">
            <v>8.33</v>
          </cell>
        </row>
        <row r="555">
          <cell r="A555" t="str">
            <v xml:space="preserve"> 2/28/90</v>
          </cell>
          <cell r="C555">
            <v>7.56</v>
          </cell>
          <cell r="D555">
            <v>8.19</v>
          </cell>
          <cell r="E555">
            <v>8.16</v>
          </cell>
          <cell r="F555">
            <v>8.1999999999999993</v>
          </cell>
          <cell r="G555">
            <v>8.2200000000000006</v>
          </cell>
          <cell r="H555">
            <v>8.36</v>
          </cell>
          <cell r="I555">
            <v>8.43</v>
          </cell>
          <cell r="J555">
            <v>8.5299999999999994</v>
          </cell>
          <cell r="K555">
            <v>8.58</v>
          </cell>
          <cell r="L555">
            <v>8.58</v>
          </cell>
          <cell r="M555">
            <v>8.59</v>
          </cell>
          <cell r="N555">
            <v>8.7100000000000009</v>
          </cell>
          <cell r="O555">
            <v>8.8800000000000008</v>
          </cell>
          <cell r="P555">
            <v>8.69</v>
          </cell>
          <cell r="Q555">
            <v>8.42</v>
          </cell>
        </row>
        <row r="556">
          <cell r="A556" t="str">
            <v xml:space="preserve"> 3/30/90</v>
          </cell>
          <cell r="C556">
            <v>8.23</v>
          </cell>
          <cell r="D556">
            <v>8.27</v>
          </cell>
          <cell r="E556">
            <v>8.32</v>
          </cell>
          <cell r="F556">
            <v>8.42</v>
          </cell>
          <cell r="G556">
            <v>8.4700000000000006</v>
          </cell>
          <cell r="H556">
            <v>8.61</v>
          </cell>
          <cell r="I556">
            <v>8.68</v>
          </cell>
          <cell r="J556">
            <v>8.74</v>
          </cell>
          <cell r="K556">
            <v>8.7799999999999994</v>
          </cell>
          <cell r="L556">
            <v>8.74</v>
          </cell>
          <cell r="M556">
            <v>8.6999999999999993</v>
          </cell>
          <cell r="N556">
            <v>8.8000000000000007</v>
          </cell>
          <cell r="O556">
            <v>8.9600000000000009</v>
          </cell>
          <cell r="P556">
            <v>8.7799999999999994</v>
          </cell>
          <cell r="Q556">
            <v>8.5299999999999994</v>
          </cell>
        </row>
        <row r="557">
          <cell r="A557" t="str">
            <v xml:space="preserve"> 4/30/90</v>
          </cell>
          <cell r="C557">
            <v>7.67</v>
          </cell>
          <cell r="D557">
            <v>8.31</v>
          </cell>
          <cell r="E557">
            <v>8.4499999999999993</v>
          </cell>
          <cell r="F557">
            <v>8.64</v>
          </cell>
          <cell r="G557">
            <v>8.74</v>
          </cell>
          <cell r="H557">
            <v>8.91</v>
          </cell>
          <cell r="I557">
            <v>8.99</v>
          </cell>
          <cell r="J557">
            <v>9.08</v>
          </cell>
          <cell r="K557">
            <v>9.1199999999999992</v>
          </cell>
          <cell r="L557">
            <v>9.11</v>
          </cell>
          <cell r="M557">
            <v>9.09</v>
          </cell>
          <cell r="N557">
            <v>9.19</v>
          </cell>
          <cell r="O557">
            <v>9.32</v>
          </cell>
          <cell r="P557">
            <v>9.15</v>
          </cell>
          <cell r="Q557">
            <v>8.9</v>
          </cell>
        </row>
        <row r="558">
          <cell r="A558" t="str">
            <v xml:space="preserve"> 5/31/90</v>
          </cell>
          <cell r="C558">
            <v>6.94</v>
          </cell>
          <cell r="D558">
            <v>8.19</v>
          </cell>
          <cell r="E558">
            <v>8.18</v>
          </cell>
          <cell r="F558">
            <v>8.24</v>
          </cell>
          <cell r="G558">
            <v>8.26</v>
          </cell>
          <cell r="H558">
            <v>8.42</v>
          </cell>
          <cell r="I558">
            <v>8.49</v>
          </cell>
          <cell r="J558">
            <v>8.59</v>
          </cell>
          <cell r="K558">
            <v>8.64</v>
          </cell>
          <cell r="L558">
            <v>8.66</v>
          </cell>
          <cell r="M558">
            <v>8.67</v>
          </cell>
          <cell r="N558">
            <v>8.77</v>
          </cell>
          <cell r="O558">
            <v>8.9</v>
          </cell>
          <cell r="P558">
            <v>8.7200000000000006</v>
          </cell>
          <cell r="Q558">
            <v>8.4600000000000009</v>
          </cell>
        </row>
        <row r="559">
          <cell r="A559" t="str">
            <v xml:space="preserve"> 6/29/90</v>
          </cell>
          <cell r="C559">
            <v>7.64</v>
          </cell>
          <cell r="D559">
            <v>8.09</v>
          </cell>
          <cell r="E559">
            <v>8.02</v>
          </cell>
          <cell r="F559">
            <v>8.09</v>
          </cell>
          <cell r="G559">
            <v>8.1300000000000008</v>
          </cell>
          <cell r="H559">
            <v>8.2100000000000009</v>
          </cell>
          <cell r="I559">
            <v>8.25</v>
          </cell>
          <cell r="J559">
            <v>8.3699999999999992</v>
          </cell>
          <cell r="K559">
            <v>8.43</v>
          </cell>
          <cell r="L559">
            <v>8.4600000000000009</v>
          </cell>
          <cell r="M559">
            <v>8.49</v>
          </cell>
          <cell r="N559">
            <v>8.6</v>
          </cell>
          <cell r="O559">
            <v>8.7200000000000006</v>
          </cell>
          <cell r="P559">
            <v>8.5500000000000007</v>
          </cell>
          <cell r="Q559">
            <v>8.31</v>
          </cell>
        </row>
        <row r="560">
          <cell r="A560" t="str">
            <v xml:space="preserve"> 7/31/90</v>
          </cell>
          <cell r="C560">
            <v>7.62</v>
          </cell>
          <cell r="D560">
            <v>7.83</v>
          </cell>
          <cell r="E560">
            <v>7.73</v>
          </cell>
          <cell r="F560">
            <v>7.8</v>
          </cell>
          <cell r="G560">
            <v>7.84</v>
          </cell>
          <cell r="H560">
            <v>7.91</v>
          </cell>
          <cell r="I560">
            <v>7.94</v>
          </cell>
          <cell r="J560">
            <v>8.08</v>
          </cell>
          <cell r="K560">
            <v>8.14</v>
          </cell>
          <cell r="L560">
            <v>8.24</v>
          </cell>
          <cell r="M560">
            <v>8.36</v>
          </cell>
          <cell r="N560">
            <v>8.5500000000000007</v>
          </cell>
          <cell r="O560">
            <v>8.75</v>
          </cell>
          <cell r="P560">
            <v>8.58</v>
          </cell>
          <cell r="Q560">
            <v>8.33</v>
          </cell>
        </row>
        <row r="561">
          <cell r="A561" t="str">
            <v xml:space="preserve"> 8/31/90</v>
          </cell>
          <cell r="C561">
            <v>7.59</v>
          </cell>
          <cell r="D561">
            <v>7.78</v>
          </cell>
          <cell r="E561">
            <v>7.79</v>
          </cell>
          <cell r="F561">
            <v>7.91</v>
          </cell>
          <cell r="G561">
            <v>7.97</v>
          </cell>
          <cell r="H561">
            <v>8.07</v>
          </cell>
          <cell r="I561">
            <v>8.1199999999999992</v>
          </cell>
          <cell r="J561">
            <v>8.3800000000000008</v>
          </cell>
          <cell r="K561">
            <v>8.5</v>
          </cell>
          <cell r="L561">
            <v>8.66</v>
          </cell>
          <cell r="M561">
            <v>8.84</v>
          </cell>
          <cell r="N561">
            <v>9.1199999999999992</v>
          </cell>
          <cell r="O561">
            <v>9.42</v>
          </cell>
          <cell r="P561">
            <v>9.23</v>
          </cell>
          <cell r="Q561">
            <v>8.92</v>
          </cell>
        </row>
        <row r="562">
          <cell r="A562" t="str">
            <v xml:space="preserve"> 9/28/90</v>
          </cell>
          <cell r="C562">
            <v>7.17</v>
          </cell>
          <cell r="D562">
            <v>7.51</v>
          </cell>
          <cell r="E562">
            <v>7.67</v>
          </cell>
          <cell r="F562">
            <v>7.81</v>
          </cell>
          <cell r="G562">
            <v>7.88</v>
          </cell>
          <cell r="H562">
            <v>7.98</v>
          </cell>
          <cell r="I562">
            <v>8.02</v>
          </cell>
          <cell r="J562">
            <v>8.2899999999999991</v>
          </cell>
          <cell r="K562">
            <v>8.42</v>
          </cell>
          <cell r="L562">
            <v>8.59</v>
          </cell>
          <cell r="M562">
            <v>8.7899999999999991</v>
          </cell>
          <cell r="N562">
            <v>9.06</v>
          </cell>
          <cell r="O562">
            <v>9.33</v>
          </cell>
          <cell r="P562">
            <v>9.18</v>
          </cell>
          <cell r="Q562">
            <v>8.92</v>
          </cell>
        </row>
        <row r="563">
          <cell r="A563" t="str">
            <v>10/31/90</v>
          </cell>
          <cell r="C563">
            <v>6.76</v>
          </cell>
          <cell r="D563">
            <v>7.48</v>
          </cell>
          <cell r="E563">
            <v>7.48</v>
          </cell>
          <cell r="F563">
            <v>7.56</v>
          </cell>
          <cell r="G563">
            <v>7.6</v>
          </cell>
          <cell r="H563">
            <v>7.72</v>
          </cell>
          <cell r="I563">
            <v>7.79</v>
          </cell>
          <cell r="J563">
            <v>8.0399999999999991</v>
          </cell>
          <cell r="K563">
            <v>8.17</v>
          </cell>
          <cell r="L563">
            <v>8.3699999999999992</v>
          </cell>
          <cell r="M563">
            <v>8.59</v>
          </cell>
          <cell r="N563">
            <v>8.89</v>
          </cell>
          <cell r="O563">
            <v>9.19</v>
          </cell>
          <cell r="P563">
            <v>9.02</v>
          </cell>
          <cell r="Q563">
            <v>8.76</v>
          </cell>
        </row>
        <row r="564">
          <cell r="A564" t="str">
            <v>11/30/90</v>
          </cell>
          <cell r="C564">
            <v>6.92</v>
          </cell>
          <cell r="D564">
            <v>7.38</v>
          </cell>
          <cell r="E564">
            <v>7.4</v>
          </cell>
          <cell r="F564">
            <v>7.43</v>
          </cell>
          <cell r="G564">
            <v>7.45</v>
          </cell>
          <cell r="H564">
            <v>7.54</v>
          </cell>
          <cell r="I564">
            <v>7.58</v>
          </cell>
          <cell r="J564">
            <v>7.79</v>
          </cell>
          <cell r="K564">
            <v>7.9</v>
          </cell>
          <cell r="L564">
            <v>8.06</v>
          </cell>
          <cell r="M564">
            <v>8.25</v>
          </cell>
          <cell r="N564">
            <v>8.49</v>
          </cell>
          <cell r="O564">
            <v>8.73</v>
          </cell>
          <cell r="P564">
            <v>8.61</v>
          </cell>
          <cell r="Q564">
            <v>8.41</v>
          </cell>
        </row>
        <row r="565">
          <cell r="A565" t="str">
            <v>12/31/90</v>
          </cell>
          <cell r="C565">
            <v>5.59</v>
          </cell>
          <cell r="D565">
            <v>6.75</v>
          </cell>
          <cell r="E565">
            <v>6.85</v>
          </cell>
          <cell r="F565">
            <v>6.99</v>
          </cell>
          <cell r="G565">
            <v>7.06</v>
          </cell>
          <cell r="H565">
            <v>7.18</v>
          </cell>
          <cell r="I565">
            <v>7.24</v>
          </cell>
          <cell r="J565">
            <v>7.5</v>
          </cell>
          <cell r="K565">
            <v>7.64</v>
          </cell>
          <cell r="L565">
            <v>7.85</v>
          </cell>
          <cell r="M565">
            <v>8.09</v>
          </cell>
          <cell r="N565">
            <v>8.3699999999999992</v>
          </cell>
          <cell r="O565">
            <v>8.65</v>
          </cell>
          <cell r="P565">
            <v>8.5</v>
          </cell>
          <cell r="Q565">
            <v>8.27</v>
          </cell>
        </row>
        <row r="566">
          <cell r="A566" t="str">
            <v xml:space="preserve"> 1/31/91</v>
          </cell>
          <cell r="C566">
            <v>5.76</v>
          </cell>
          <cell r="D566">
            <v>6.47</v>
          </cell>
          <cell r="E566">
            <v>6.51</v>
          </cell>
          <cell r="F566">
            <v>6.68</v>
          </cell>
          <cell r="G566">
            <v>6.76</v>
          </cell>
          <cell r="H566">
            <v>6.97</v>
          </cell>
          <cell r="I566">
            <v>7.08</v>
          </cell>
          <cell r="J566">
            <v>7.41</v>
          </cell>
          <cell r="K566">
            <v>7.57</v>
          </cell>
          <cell r="L566">
            <v>7.77</v>
          </cell>
          <cell r="M566">
            <v>8</v>
          </cell>
          <cell r="N566">
            <v>8.3000000000000007</v>
          </cell>
          <cell r="O566">
            <v>8.6199999999999992</v>
          </cell>
          <cell r="P566">
            <v>8.4700000000000006</v>
          </cell>
          <cell r="Q566">
            <v>8.2200000000000006</v>
          </cell>
        </row>
        <row r="567">
          <cell r="A567" t="str">
            <v xml:space="preserve"> 2/28/91</v>
          </cell>
          <cell r="C567">
            <v>5.6</v>
          </cell>
          <cell r="D567">
            <v>6.34</v>
          </cell>
          <cell r="E567">
            <v>6.34</v>
          </cell>
          <cell r="F567">
            <v>6.5</v>
          </cell>
          <cell r="G567">
            <v>6.58</v>
          </cell>
          <cell r="H567">
            <v>6.89</v>
          </cell>
          <cell r="I567">
            <v>7.04</v>
          </cell>
          <cell r="J567">
            <v>7.4</v>
          </cell>
          <cell r="K567">
            <v>7.58</v>
          </cell>
          <cell r="L567">
            <v>7.78</v>
          </cell>
          <cell r="M567">
            <v>8.01</v>
          </cell>
          <cell r="N567">
            <v>8.33</v>
          </cell>
          <cell r="O567">
            <v>8.66</v>
          </cell>
          <cell r="P567">
            <v>8.49</v>
          </cell>
          <cell r="Q567">
            <v>8.2100000000000009</v>
          </cell>
        </row>
        <row r="568">
          <cell r="A568" t="str">
            <v xml:space="preserve"> 3/28/91</v>
          </cell>
          <cell r="C568">
            <v>5.96</v>
          </cell>
          <cell r="D568">
            <v>6.11</v>
          </cell>
          <cell r="E568">
            <v>6.1</v>
          </cell>
          <cell r="F568">
            <v>6.35</v>
          </cell>
          <cell r="G568">
            <v>6.48</v>
          </cell>
          <cell r="H568">
            <v>6.87</v>
          </cell>
          <cell r="I568">
            <v>7.06</v>
          </cell>
          <cell r="J568">
            <v>7.48</v>
          </cell>
          <cell r="K568">
            <v>7.69</v>
          </cell>
          <cell r="L568">
            <v>7.87</v>
          </cell>
          <cell r="M568">
            <v>8.08</v>
          </cell>
          <cell r="N568">
            <v>8.36</v>
          </cell>
          <cell r="O568">
            <v>8.65</v>
          </cell>
          <cell r="P568">
            <v>8.52</v>
          </cell>
          <cell r="Q568">
            <v>8.3000000000000007</v>
          </cell>
        </row>
        <row r="569">
          <cell r="A569" t="str">
            <v xml:space="preserve"> 4/30/91</v>
          </cell>
          <cell r="C569">
            <v>5.55</v>
          </cell>
          <cell r="D569">
            <v>5.79</v>
          </cell>
          <cell r="E569">
            <v>5.86</v>
          </cell>
          <cell r="F569">
            <v>6.14</v>
          </cell>
          <cell r="G569">
            <v>6.29</v>
          </cell>
          <cell r="H569">
            <v>6.68</v>
          </cell>
          <cell r="I569">
            <v>6.88</v>
          </cell>
          <cell r="J569">
            <v>7.32</v>
          </cell>
          <cell r="K569">
            <v>7.55</v>
          </cell>
          <cell r="L569">
            <v>7.78</v>
          </cell>
          <cell r="M569">
            <v>8.0399999999999991</v>
          </cell>
          <cell r="N569">
            <v>8.33</v>
          </cell>
          <cell r="O569">
            <v>8.6</v>
          </cell>
          <cell r="P569">
            <v>8.4600000000000009</v>
          </cell>
          <cell r="Q569">
            <v>8.23</v>
          </cell>
        </row>
        <row r="570">
          <cell r="A570" t="str">
            <v xml:space="preserve"> 5/31/91</v>
          </cell>
          <cell r="C570">
            <v>4.96</v>
          </cell>
          <cell r="D570">
            <v>5.85</v>
          </cell>
          <cell r="E570">
            <v>5.86</v>
          </cell>
          <cell r="F570">
            <v>6.17</v>
          </cell>
          <cell r="G570">
            <v>6.33</v>
          </cell>
          <cell r="H570">
            <v>6.65</v>
          </cell>
          <cell r="I570">
            <v>6.81</v>
          </cell>
          <cell r="J570">
            <v>7.31</v>
          </cell>
          <cell r="K570">
            <v>7.55</v>
          </cell>
          <cell r="L570">
            <v>7.8</v>
          </cell>
          <cell r="M570">
            <v>8.07</v>
          </cell>
          <cell r="N570">
            <v>8.3800000000000008</v>
          </cell>
          <cell r="O570">
            <v>8.69</v>
          </cell>
          <cell r="P570">
            <v>8.5500000000000007</v>
          </cell>
          <cell r="Q570">
            <v>8.33</v>
          </cell>
        </row>
        <row r="571">
          <cell r="A571" t="str">
            <v xml:space="preserve"> 6/28/91</v>
          </cell>
          <cell r="C571">
            <v>5.29</v>
          </cell>
          <cell r="D571">
            <v>5.78</v>
          </cell>
          <cell r="E571">
            <v>5.95</v>
          </cell>
          <cell r="F571">
            <v>6.3</v>
          </cell>
          <cell r="G571">
            <v>6.48</v>
          </cell>
          <cell r="H571">
            <v>6.78</v>
          </cell>
          <cell r="I571">
            <v>6.93</v>
          </cell>
          <cell r="J571">
            <v>7.52</v>
          </cell>
          <cell r="K571">
            <v>7.83</v>
          </cell>
          <cell r="L571">
            <v>8.0399999999999991</v>
          </cell>
          <cell r="M571">
            <v>8.2799999999999994</v>
          </cell>
          <cell r="N571">
            <v>8.5399999999999991</v>
          </cell>
          <cell r="O571">
            <v>8.7899999999999991</v>
          </cell>
          <cell r="P571">
            <v>8.7100000000000009</v>
          </cell>
          <cell r="Q571">
            <v>8.56</v>
          </cell>
        </row>
        <row r="572">
          <cell r="A572" t="str">
            <v xml:space="preserve"> 7/31/91</v>
          </cell>
          <cell r="C572">
            <v>5.63</v>
          </cell>
          <cell r="D572">
            <v>5.8</v>
          </cell>
          <cell r="E572">
            <v>5.89</v>
          </cell>
          <cell r="F572">
            <v>6.14</v>
          </cell>
          <cell r="G572">
            <v>6.27</v>
          </cell>
          <cell r="H572">
            <v>6.63</v>
          </cell>
          <cell r="I572">
            <v>6.8</v>
          </cell>
          <cell r="J572">
            <v>7.36</v>
          </cell>
          <cell r="K572">
            <v>7.64</v>
          </cell>
          <cell r="L572">
            <v>7.88</v>
          </cell>
          <cell r="M572">
            <v>8.16</v>
          </cell>
          <cell r="N572">
            <v>8.4600000000000009</v>
          </cell>
          <cell r="O572">
            <v>8.73</v>
          </cell>
          <cell r="P572">
            <v>8.6300000000000008</v>
          </cell>
          <cell r="Q572">
            <v>8.4499999999999993</v>
          </cell>
        </row>
        <row r="573">
          <cell r="A573" t="str">
            <v xml:space="preserve"> 8/30/91</v>
          </cell>
          <cell r="C573">
            <v>5.41</v>
          </cell>
          <cell r="D573">
            <v>5.57</v>
          </cell>
          <cell r="E573">
            <v>5.64</v>
          </cell>
          <cell r="F573">
            <v>5.77</v>
          </cell>
          <cell r="G573">
            <v>5.83</v>
          </cell>
          <cell r="H573">
            <v>6.15</v>
          </cell>
          <cell r="I573">
            <v>6.31</v>
          </cell>
          <cell r="J573">
            <v>6.91</v>
          </cell>
          <cell r="K573">
            <v>7.21</v>
          </cell>
          <cell r="L573">
            <v>7.5</v>
          </cell>
          <cell r="M573">
            <v>7.83</v>
          </cell>
          <cell r="N573">
            <v>8.14</v>
          </cell>
          <cell r="O573">
            <v>8.43</v>
          </cell>
          <cell r="P573">
            <v>8.35</v>
          </cell>
          <cell r="Q573">
            <v>8.19</v>
          </cell>
        </row>
        <row r="574">
          <cell r="A574" t="str">
            <v xml:space="preserve"> 9/30/91</v>
          </cell>
          <cell r="C574">
            <v>5.08</v>
          </cell>
          <cell r="D574">
            <v>5.32</v>
          </cell>
          <cell r="E574">
            <v>5.34</v>
          </cell>
          <cell r="F574">
            <v>5.47</v>
          </cell>
          <cell r="G574">
            <v>5.53</v>
          </cell>
          <cell r="H574">
            <v>5.85</v>
          </cell>
          <cell r="I574">
            <v>6.01</v>
          </cell>
          <cell r="J574">
            <v>6.56</v>
          </cell>
          <cell r="K574">
            <v>6.83</v>
          </cell>
          <cell r="L574">
            <v>7.11</v>
          </cell>
          <cell r="M574">
            <v>7.43</v>
          </cell>
          <cell r="N574">
            <v>7.82</v>
          </cell>
          <cell r="O574">
            <v>8.2100000000000009</v>
          </cell>
          <cell r="P574">
            <v>8.15</v>
          </cell>
          <cell r="Q574">
            <v>8.01</v>
          </cell>
        </row>
        <row r="575">
          <cell r="A575" t="str">
            <v>10/31/91</v>
          </cell>
          <cell r="C575">
            <v>4.83</v>
          </cell>
          <cell r="D575">
            <v>5.05</v>
          </cell>
          <cell r="E575">
            <v>5.0199999999999996</v>
          </cell>
          <cell r="F575">
            <v>5.15</v>
          </cell>
          <cell r="G575">
            <v>5.21</v>
          </cell>
          <cell r="H575">
            <v>5.55</v>
          </cell>
          <cell r="I575">
            <v>5.72</v>
          </cell>
          <cell r="J575">
            <v>6.3</v>
          </cell>
          <cell r="K575">
            <v>6.59</v>
          </cell>
          <cell r="L575">
            <v>6.96</v>
          </cell>
          <cell r="M575">
            <v>7.39</v>
          </cell>
          <cell r="N575">
            <v>7.85</v>
          </cell>
          <cell r="O575">
            <v>8.2799999999999994</v>
          </cell>
          <cell r="P575">
            <v>8.26</v>
          </cell>
          <cell r="Q575">
            <v>8.15</v>
          </cell>
        </row>
        <row r="576">
          <cell r="A576" t="str">
            <v>11/29/91</v>
          </cell>
          <cell r="C576">
            <v>4.08</v>
          </cell>
          <cell r="D576">
            <v>4.62</v>
          </cell>
          <cell r="E576">
            <v>4.6100000000000003</v>
          </cell>
          <cell r="F576">
            <v>4.7699999999999996</v>
          </cell>
          <cell r="G576">
            <v>4.84</v>
          </cell>
          <cell r="H576">
            <v>5.2</v>
          </cell>
          <cell r="I576">
            <v>5.38</v>
          </cell>
          <cell r="J576">
            <v>6.05</v>
          </cell>
          <cell r="K576">
            <v>6.4</v>
          </cell>
          <cell r="L576">
            <v>6.82</v>
          </cell>
          <cell r="M576">
            <v>7.31</v>
          </cell>
          <cell r="N576">
            <v>7.82</v>
          </cell>
          <cell r="O576">
            <v>8.31</v>
          </cell>
          <cell r="P576">
            <v>8.35</v>
          </cell>
          <cell r="Q576">
            <v>8.33</v>
          </cell>
        </row>
        <row r="577">
          <cell r="A577" t="str">
            <v>12/31/91</v>
          </cell>
          <cell r="C577">
            <v>3.82</v>
          </cell>
          <cell r="D577">
            <v>3.9</v>
          </cell>
          <cell r="E577">
            <v>3.99</v>
          </cell>
          <cell r="F577">
            <v>4.17</v>
          </cell>
          <cell r="G577">
            <v>4.26</v>
          </cell>
          <cell r="H577">
            <v>4.59</v>
          </cell>
          <cell r="I577">
            <v>4.75</v>
          </cell>
          <cell r="J577">
            <v>5.47</v>
          </cell>
          <cell r="K577">
            <v>5.84</v>
          </cell>
          <cell r="L577">
            <v>6.22</v>
          </cell>
          <cell r="M577">
            <v>6.66</v>
          </cell>
          <cell r="N577">
            <v>7.21</v>
          </cell>
          <cell r="O577">
            <v>7.77</v>
          </cell>
          <cell r="P577">
            <v>7.85</v>
          </cell>
          <cell r="Q577">
            <v>7.85</v>
          </cell>
        </row>
        <row r="578">
          <cell r="A578" t="str">
            <v xml:space="preserve"> 1/31/92</v>
          </cell>
          <cell r="C578">
            <v>3.68</v>
          </cell>
          <cell r="D578">
            <v>4.04</v>
          </cell>
          <cell r="E578">
            <v>4.03</v>
          </cell>
          <cell r="F578">
            <v>4.3099999999999996</v>
          </cell>
          <cell r="G578">
            <v>4.46</v>
          </cell>
          <cell r="H578">
            <v>4.92</v>
          </cell>
          <cell r="I578">
            <v>5.15</v>
          </cell>
          <cell r="J578">
            <v>5.94</v>
          </cell>
          <cell r="K578">
            <v>6.34</v>
          </cell>
          <cell r="L578">
            <v>6.77</v>
          </cell>
          <cell r="M578">
            <v>7.27</v>
          </cell>
          <cell r="N578">
            <v>7.76</v>
          </cell>
          <cell r="O578">
            <v>8.2100000000000009</v>
          </cell>
          <cell r="P578">
            <v>8.16</v>
          </cell>
          <cell r="Q578">
            <v>8.0299999999999994</v>
          </cell>
        </row>
        <row r="579">
          <cell r="A579" t="str">
            <v xml:space="preserve"> 2/28/92</v>
          </cell>
          <cell r="C579">
            <v>3.86</v>
          </cell>
          <cell r="D579">
            <v>4.1100000000000003</v>
          </cell>
          <cell r="E579">
            <v>4.12</v>
          </cell>
          <cell r="F579">
            <v>4.3899999999999997</v>
          </cell>
          <cell r="G579">
            <v>4.53</v>
          </cell>
          <cell r="H579">
            <v>5.01</v>
          </cell>
          <cell r="I579">
            <v>5.25</v>
          </cell>
          <cell r="J579">
            <v>6.06</v>
          </cell>
          <cell r="K579">
            <v>6.47</v>
          </cell>
          <cell r="L579">
            <v>6.84</v>
          </cell>
          <cell r="M579">
            <v>7.27</v>
          </cell>
          <cell r="N579">
            <v>7.74</v>
          </cell>
          <cell r="O579">
            <v>8.18</v>
          </cell>
          <cell r="P579">
            <v>8.17</v>
          </cell>
          <cell r="Q579">
            <v>8.07</v>
          </cell>
        </row>
        <row r="580">
          <cell r="A580" t="str">
            <v xml:space="preserve"> 3/31/92</v>
          </cell>
          <cell r="C580">
            <v>4.0999999999999996</v>
          </cell>
          <cell r="D580">
            <v>4.1399999999999997</v>
          </cell>
          <cell r="E580">
            <v>4.28</v>
          </cell>
          <cell r="F580">
            <v>4.58</v>
          </cell>
          <cell r="G580">
            <v>4.74</v>
          </cell>
          <cell r="H580">
            <v>5.34</v>
          </cell>
          <cell r="I580">
            <v>5.65</v>
          </cell>
          <cell r="J580">
            <v>6.47</v>
          </cell>
          <cell r="K580">
            <v>6.88</v>
          </cell>
          <cell r="L580">
            <v>7.19</v>
          </cell>
          <cell r="M580">
            <v>7.54</v>
          </cell>
          <cell r="N580">
            <v>7.95</v>
          </cell>
          <cell r="O580">
            <v>8.34</v>
          </cell>
          <cell r="P580">
            <v>8.2899999999999991</v>
          </cell>
          <cell r="Q580">
            <v>8.17</v>
          </cell>
        </row>
        <row r="581">
          <cell r="A581" t="str">
            <v xml:space="preserve"> 4/30/92</v>
          </cell>
          <cell r="C581">
            <v>3.41</v>
          </cell>
          <cell r="D581">
            <v>3.87</v>
          </cell>
          <cell r="E581">
            <v>3.96</v>
          </cell>
          <cell r="F581">
            <v>4.2300000000000004</v>
          </cell>
          <cell r="G581">
            <v>4.3600000000000003</v>
          </cell>
          <cell r="H581">
            <v>5.08</v>
          </cell>
          <cell r="I581">
            <v>5.44</v>
          </cell>
          <cell r="J581">
            <v>6.29</v>
          </cell>
          <cell r="K581">
            <v>6.72</v>
          </cell>
          <cell r="L581">
            <v>7.11</v>
          </cell>
          <cell r="M581">
            <v>7.55</v>
          </cell>
          <cell r="N581">
            <v>8.0299999999999994</v>
          </cell>
          <cell r="O581">
            <v>8.48</v>
          </cell>
          <cell r="P581">
            <v>8.43</v>
          </cell>
          <cell r="Q581">
            <v>8.3000000000000007</v>
          </cell>
        </row>
        <row r="582">
          <cell r="A582" t="str">
            <v xml:space="preserve"> 5/29/92</v>
          </cell>
          <cell r="C582">
            <v>3.53</v>
          </cell>
          <cell r="D582">
            <v>3.85</v>
          </cell>
          <cell r="E582">
            <v>3.97</v>
          </cell>
          <cell r="F582">
            <v>4.1500000000000004</v>
          </cell>
          <cell r="G582">
            <v>4.25</v>
          </cell>
          <cell r="H582">
            <v>4.8499999999999996</v>
          </cell>
          <cell r="I582">
            <v>5.16</v>
          </cell>
          <cell r="J582">
            <v>5.98</v>
          </cell>
          <cell r="K582">
            <v>6.39</v>
          </cell>
          <cell r="L582">
            <v>6.81</v>
          </cell>
          <cell r="M582">
            <v>7.28</v>
          </cell>
          <cell r="N582">
            <v>7.8</v>
          </cell>
          <cell r="O582">
            <v>8.2899999999999991</v>
          </cell>
          <cell r="P582">
            <v>8.24</v>
          </cell>
          <cell r="Q582">
            <v>8.09</v>
          </cell>
        </row>
        <row r="583">
          <cell r="A583" t="str">
            <v xml:space="preserve"> 6/30/92</v>
          </cell>
          <cell r="C583">
            <v>3.56</v>
          </cell>
          <cell r="D583">
            <v>3.72</v>
          </cell>
          <cell r="E583">
            <v>3.83</v>
          </cell>
          <cell r="F583">
            <v>4</v>
          </cell>
          <cell r="G583">
            <v>4.09</v>
          </cell>
          <cell r="H583">
            <v>4.57</v>
          </cell>
          <cell r="I583">
            <v>4.8099999999999996</v>
          </cell>
          <cell r="J583">
            <v>5.63</v>
          </cell>
          <cell r="K583">
            <v>6.05</v>
          </cell>
          <cell r="L583">
            <v>6.51</v>
          </cell>
          <cell r="M583">
            <v>7.05</v>
          </cell>
          <cell r="N583">
            <v>7.64</v>
          </cell>
          <cell r="O583">
            <v>8.19</v>
          </cell>
          <cell r="P583">
            <v>8.24</v>
          </cell>
          <cell r="Q583">
            <v>8.2200000000000006</v>
          </cell>
        </row>
        <row r="584">
          <cell r="A584" t="str">
            <v xml:space="preserve"> 7/31/92</v>
          </cell>
          <cell r="C584">
            <v>3.1</v>
          </cell>
          <cell r="D584">
            <v>3.36</v>
          </cell>
          <cell r="E584">
            <v>3.42</v>
          </cell>
          <cell r="F584">
            <v>3.6</v>
          </cell>
          <cell r="G584">
            <v>3.68</v>
          </cell>
          <cell r="H584">
            <v>4.1500000000000004</v>
          </cell>
          <cell r="I584">
            <v>4.38</v>
          </cell>
          <cell r="J584">
            <v>5.19</v>
          </cell>
          <cell r="K584">
            <v>5.59</v>
          </cell>
          <cell r="L584">
            <v>6.06</v>
          </cell>
          <cell r="M584">
            <v>6.59</v>
          </cell>
          <cell r="N584">
            <v>7.2</v>
          </cell>
          <cell r="O584">
            <v>7.8</v>
          </cell>
          <cell r="P584">
            <v>7.91</v>
          </cell>
          <cell r="Q584">
            <v>7.95</v>
          </cell>
        </row>
        <row r="585">
          <cell r="A585" t="str">
            <v xml:space="preserve"> 8/31/92</v>
          </cell>
          <cell r="C585">
            <v>3.07</v>
          </cell>
          <cell r="D585">
            <v>3.26</v>
          </cell>
          <cell r="E585">
            <v>3.34</v>
          </cell>
          <cell r="F585">
            <v>3.45</v>
          </cell>
          <cell r="G585">
            <v>3.51</v>
          </cell>
          <cell r="H585">
            <v>3.89</v>
          </cell>
          <cell r="I585">
            <v>4.08</v>
          </cell>
          <cell r="J585">
            <v>4.92</v>
          </cell>
          <cell r="K585">
            <v>5.34</v>
          </cell>
          <cell r="L585">
            <v>5.88</v>
          </cell>
          <cell r="M585">
            <v>6.5</v>
          </cell>
          <cell r="N585">
            <v>7.19</v>
          </cell>
          <cell r="O585">
            <v>7.85</v>
          </cell>
          <cell r="P585">
            <v>7.96</v>
          </cell>
          <cell r="Q585">
            <v>7.99</v>
          </cell>
        </row>
        <row r="586">
          <cell r="A586" t="str">
            <v xml:space="preserve"> 9/30/92</v>
          </cell>
          <cell r="C586">
            <v>2.67</v>
          </cell>
          <cell r="D586">
            <v>2.81</v>
          </cell>
          <cell r="E586">
            <v>2.97</v>
          </cell>
          <cell r="F586">
            <v>3.08</v>
          </cell>
          <cell r="G586">
            <v>3.14</v>
          </cell>
          <cell r="H586">
            <v>3.55</v>
          </cell>
          <cell r="I586">
            <v>3.76</v>
          </cell>
          <cell r="J586">
            <v>4.58</v>
          </cell>
          <cell r="K586">
            <v>4.99</v>
          </cell>
          <cell r="L586">
            <v>5.58</v>
          </cell>
          <cell r="M586">
            <v>6.26</v>
          </cell>
          <cell r="N586">
            <v>7.02</v>
          </cell>
          <cell r="O586">
            <v>7.75</v>
          </cell>
          <cell r="P586">
            <v>7.94</v>
          </cell>
          <cell r="Q586">
            <v>8.07</v>
          </cell>
        </row>
        <row r="587">
          <cell r="A587" t="str">
            <v>10/30/92</v>
          </cell>
          <cell r="C587">
            <v>2.7</v>
          </cell>
          <cell r="D587">
            <v>3.19</v>
          </cell>
          <cell r="E587">
            <v>3.34</v>
          </cell>
          <cell r="F587">
            <v>3.57</v>
          </cell>
          <cell r="G587">
            <v>3.69</v>
          </cell>
          <cell r="H587">
            <v>4.16</v>
          </cell>
          <cell r="I587">
            <v>4.4000000000000004</v>
          </cell>
          <cell r="J587">
            <v>5.22</v>
          </cell>
          <cell r="K587">
            <v>5.63</v>
          </cell>
          <cell r="L587">
            <v>6.16</v>
          </cell>
          <cell r="M587">
            <v>6.76</v>
          </cell>
          <cell r="N587">
            <v>7.38</v>
          </cell>
          <cell r="O587">
            <v>7.95</v>
          </cell>
          <cell r="P587">
            <v>8.11</v>
          </cell>
          <cell r="Q587">
            <v>8.23</v>
          </cell>
        </row>
        <row r="588">
          <cell r="A588" t="str">
            <v>11/30/92</v>
          </cell>
          <cell r="C588">
            <v>2.75</v>
          </cell>
          <cell r="D588">
            <v>3.35</v>
          </cell>
          <cell r="E588">
            <v>3.58</v>
          </cell>
          <cell r="F588">
            <v>3.83</v>
          </cell>
          <cell r="G588">
            <v>3.95</v>
          </cell>
          <cell r="H588">
            <v>4.54</v>
          </cell>
          <cell r="I588">
            <v>4.83</v>
          </cell>
          <cell r="J588">
            <v>5.64</v>
          </cell>
          <cell r="K588">
            <v>6.04</v>
          </cell>
          <cell r="L588">
            <v>6.45</v>
          </cell>
          <cell r="M588">
            <v>6.91</v>
          </cell>
          <cell r="N588">
            <v>7.43</v>
          </cell>
          <cell r="O588">
            <v>7.94</v>
          </cell>
          <cell r="P588">
            <v>8.02</v>
          </cell>
          <cell r="Q588">
            <v>8.0500000000000007</v>
          </cell>
        </row>
        <row r="589">
          <cell r="A589" t="str">
            <v>12/31/92</v>
          </cell>
          <cell r="C589">
            <v>2.88</v>
          </cell>
          <cell r="D589">
            <v>3.27</v>
          </cell>
          <cell r="E589">
            <v>3.41</v>
          </cell>
          <cell r="F589">
            <v>3.6</v>
          </cell>
          <cell r="G589">
            <v>3.69</v>
          </cell>
          <cell r="H589">
            <v>4.24</v>
          </cell>
          <cell r="I589">
            <v>4.5199999999999996</v>
          </cell>
          <cell r="J589">
            <v>5.39</v>
          </cell>
          <cell r="K589">
            <v>5.82</v>
          </cell>
          <cell r="L589">
            <v>6.23</v>
          </cell>
          <cell r="M589">
            <v>6.69</v>
          </cell>
          <cell r="N589">
            <v>7.22</v>
          </cell>
          <cell r="O589">
            <v>7.73</v>
          </cell>
          <cell r="P589">
            <v>7.82</v>
          </cell>
          <cell r="Q589">
            <v>7.86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8.4. Normal Mixture"/>
      <sheetName val="8.4. Normal_binomial_Poisson"/>
      <sheetName val="M. normal pdf (M = Miller)"/>
      <sheetName val="M. normal CDF"/>
      <sheetName val="M. normal cdf inverse"/>
      <sheetName val="M. code, normal"/>
      <sheetName val="M. uniform &gt; Bernouilli"/>
      <sheetName val="8.4. Exponential"/>
      <sheetName val="8.4 Exponential &amp; Poisson"/>
      <sheetName val="8.4. Weibull"/>
      <sheetName val=" 8.4 gamma"/>
      <sheetName val="8.4 Beta"/>
      <sheetName val="8.4 Lognormal"/>
      <sheetName val="8.4 Logistic"/>
      <sheetName val="8.4. EVT GPD &amp; GEV"/>
      <sheetName val="M. ArithmeticAsia"/>
      <sheetName val="Sheet1"/>
    </sheetNames>
    <sheetDataSet>
      <sheetData sheetId="0" refreshError="1"/>
      <sheetData sheetId="1">
        <row r="7">
          <cell r="C7" t="str">
            <v>Normal 1</v>
          </cell>
        </row>
      </sheetData>
      <sheetData sheetId="2">
        <row r="2">
          <cell r="C2" t="str">
            <v>normal</v>
          </cell>
        </row>
      </sheetData>
      <sheetData sheetId="3">
        <row r="5">
          <cell r="D5" t="str">
            <v>Formula</v>
          </cell>
        </row>
      </sheetData>
      <sheetData sheetId="4">
        <row r="5">
          <cell r="I5" t="str">
            <v>Formula</v>
          </cell>
        </row>
      </sheetData>
      <sheetData sheetId="5">
        <row r="5">
          <cell r="N5" t="str">
            <v>Formula</v>
          </cell>
        </row>
      </sheetData>
      <sheetData sheetId="6" refreshError="1"/>
      <sheetData sheetId="7" refreshError="1"/>
      <sheetData sheetId="8">
        <row r="5">
          <cell r="D5">
            <v>0.5</v>
          </cell>
        </row>
      </sheetData>
      <sheetData sheetId="9" refreshError="1"/>
      <sheetData sheetId="10">
        <row r="2">
          <cell r="D2" t="str">
            <v>alpha=.5, beta=1</v>
          </cell>
        </row>
      </sheetData>
      <sheetData sheetId="11">
        <row r="2">
          <cell r="D2" t="str">
            <v>alpha=1, beta=1</v>
          </cell>
        </row>
      </sheetData>
      <sheetData sheetId="12">
        <row r="7">
          <cell r="B7">
            <v>0</v>
          </cell>
        </row>
      </sheetData>
      <sheetData sheetId="13">
        <row r="2">
          <cell r="F2">
            <v>0</v>
          </cell>
        </row>
      </sheetData>
      <sheetData sheetId="14">
        <row r="3">
          <cell r="C3" t="str">
            <v>alpha=0, beta=1</v>
          </cell>
        </row>
      </sheetData>
      <sheetData sheetId="15">
        <row r="19">
          <cell r="J19" t="str">
            <v>pdf</v>
          </cell>
        </row>
      </sheetData>
      <sheetData sheetId="16">
        <row r="4">
          <cell r="C4">
            <v>100</v>
          </cell>
        </row>
        <row r="5">
          <cell r="C5">
            <v>0.04</v>
          </cell>
        </row>
        <row r="6">
          <cell r="C6">
            <v>0.2</v>
          </cell>
        </row>
        <row r="7">
          <cell r="C7">
            <v>0.5</v>
          </cell>
        </row>
        <row r="8">
          <cell r="C8">
            <v>100</v>
          </cell>
        </row>
        <row r="9">
          <cell r="F9">
            <v>2.7777777777777779E-3</v>
          </cell>
        </row>
      </sheetData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mal_discrete"/>
      <sheetName val="exponential"/>
      <sheetName val="weibull"/>
      <sheetName val="gamma"/>
      <sheetName val="beta"/>
      <sheetName val="lognormal"/>
      <sheetName val="logistic"/>
      <sheetName val="EVT"/>
      <sheetName val="Poisson_Exponential"/>
      <sheetName val="NormalMixtur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>
            <v>100</v>
          </cell>
        </row>
        <row r="3">
          <cell r="D3">
            <v>0.08</v>
          </cell>
        </row>
        <row r="4">
          <cell r="D4">
            <v>0.3</v>
          </cell>
        </row>
        <row r="5">
          <cell r="D5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mal_discrete"/>
      <sheetName val="exponential"/>
      <sheetName val="weibull"/>
      <sheetName val="gamma"/>
      <sheetName val="beta"/>
      <sheetName val="lognormal"/>
      <sheetName val="logistic"/>
    </sheetNames>
    <sheetDataSet>
      <sheetData sheetId="0">
        <row r="2">
          <cell r="C2" t="str">
            <v>normal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D3">
            <v>100</v>
          </cell>
        </row>
        <row r="4">
          <cell r="D4">
            <v>0.08</v>
          </cell>
        </row>
        <row r="5">
          <cell r="D5">
            <v>0.3</v>
          </cell>
        </row>
        <row r="6">
          <cell r="D6">
            <v>3</v>
          </cell>
        </row>
      </sheetData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mal_discrete"/>
      <sheetName val="exponential"/>
      <sheetName val="weibull"/>
      <sheetName val="gamma"/>
      <sheetName val="beta"/>
      <sheetName val="lognormal"/>
      <sheetName val="logistic"/>
    </sheetNames>
    <sheetDataSet>
      <sheetData sheetId="0">
        <row r="2">
          <cell r="C2" t="str">
            <v>normal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D3">
            <v>100</v>
          </cell>
        </row>
        <row r="4">
          <cell r="D4">
            <v>0.08</v>
          </cell>
        </row>
        <row r="5">
          <cell r="D5">
            <v>0.3</v>
          </cell>
        </row>
        <row r="6">
          <cell r="D6">
            <v>3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mal_discrete"/>
      <sheetName val="exponential"/>
      <sheetName val="weibull"/>
      <sheetName val="gamma"/>
      <sheetName val="beta"/>
      <sheetName val="lognormal"/>
      <sheetName val="logistic"/>
      <sheetName val="EVT"/>
      <sheetName val="Poisson_Exponential"/>
      <sheetName val="NormalMixture"/>
      <sheetName val="Sheet1"/>
      <sheetName val="Sheet2"/>
      <sheetName val="Sheet3"/>
    </sheetNames>
    <sheetDataSet>
      <sheetData sheetId="0">
        <row r="2">
          <cell r="C2" t="str">
            <v>normal</v>
          </cell>
        </row>
      </sheetData>
      <sheetData sheetId="1"/>
      <sheetData sheetId="2"/>
      <sheetData sheetId="3"/>
      <sheetData sheetId="4"/>
      <sheetData sheetId="5">
        <row r="2">
          <cell r="D2">
            <v>100</v>
          </cell>
        </row>
        <row r="3">
          <cell r="D3">
            <v>0.08</v>
          </cell>
        </row>
        <row r="4">
          <cell r="D4">
            <v>0.3</v>
          </cell>
        </row>
        <row r="5">
          <cell r="D5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or Figures 1.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 xml:space="preserve">Date    </v>
          </cell>
          <cell r="C1" t="str">
            <v>1 mth</v>
          </cell>
          <cell r="D1" t="str">
            <v>3 mth</v>
          </cell>
          <cell r="E1" t="str">
            <v>6 mth</v>
          </cell>
          <cell r="F1" t="str">
            <v>9 mth</v>
          </cell>
          <cell r="G1" t="str">
            <v>12 mth</v>
          </cell>
          <cell r="H1" t="str">
            <v>18 mth</v>
          </cell>
          <cell r="I1" t="str">
            <v>2 yr</v>
          </cell>
          <cell r="J1" t="str">
            <v>3 yr</v>
          </cell>
          <cell r="K1" t="str">
            <v>4 yr</v>
          </cell>
          <cell r="L1" t="str">
            <v>5 yr</v>
          </cell>
          <cell r="M1" t="str">
            <v>7 yr</v>
          </cell>
          <cell r="N1" t="str">
            <v>10 yr</v>
          </cell>
          <cell r="O1" t="str">
            <v>15 yr</v>
          </cell>
          <cell r="P1" t="str">
            <v>20 yr</v>
          </cell>
          <cell r="Q1" t="str">
            <v>LONG</v>
          </cell>
        </row>
        <row r="2">
          <cell r="A2" t="str">
            <v xml:space="preserve"> 1/31/44</v>
          </cell>
          <cell r="C2">
            <v>0.34</v>
          </cell>
          <cell r="D2">
            <v>0.51</v>
          </cell>
          <cell r="E2">
            <v>0.7</v>
          </cell>
          <cell r="F2">
            <v>0.79</v>
          </cell>
          <cell r="G2">
            <v>0.84</v>
          </cell>
          <cell r="H2">
            <v>0.9</v>
          </cell>
          <cell r="I2">
            <v>0.93</v>
          </cell>
          <cell r="J2">
            <v>1.24</v>
          </cell>
          <cell r="K2">
            <v>1.4</v>
          </cell>
          <cell r="L2">
            <v>1.65</v>
          </cell>
          <cell r="M2">
            <v>1.93</v>
          </cell>
          <cell r="N2">
            <v>2.16</v>
          </cell>
          <cell r="O2">
            <v>2.33</v>
          </cell>
          <cell r="P2">
            <v>2.48</v>
          </cell>
          <cell r="Q2">
            <v>2.56</v>
          </cell>
        </row>
        <row r="3">
          <cell r="A3" t="str">
            <v xml:space="preserve"> 2/29/44</v>
          </cell>
          <cell r="C3">
            <v>0.28999999999999998</v>
          </cell>
          <cell r="D3">
            <v>0.36</v>
          </cell>
          <cell r="E3">
            <v>0.73</v>
          </cell>
          <cell r="F3">
            <v>0.79</v>
          </cell>
          <cell r="G3">
            <v>0.82</v>
          </cell>
          <cell r="H3">
            <v>0.9</v>
          </cell>
          <cell r="I3">
            <v>0.94</v>
          </cell>
          <cell r="J3">
            <v>1.25</v>
          </cell>
          <cell r="K3">
            <v>1.41</v>
          </cell>
          <cell r="L3">
            <v>1.64</v>
          </cell>
          <cell r="M3">
            <v>1.9</v>
          </cell>
          <cell r="N3">
            <v>2.12</v>
          </cell>
          <cell r="O3">
            <v>2.2999999999999998</v>
          </cell>
          <cell r="P3">
            <v>2.4700000000000002</v>
          </cell>
          <cell r="Q3">
            <v>2.56</v>
          </cell>
        </row>
        <row r="4">
          <cell r="A4" t="str">
            <v xml:space="preserve"> 3/31/44</v>
          </cell>
          <cell r="C4">
            <v>0.32</v>
          </cell>
          <cell r="D4">
            <v>0.42</v>
          </cell>
          <cell r="E4">
            <v>0.78</v>
          </cell>
          <cell r="F4">
            <v>0.8</v>
          </cell>
          <cell r="G4">
            <v>0.81</v>
          </cell>
          <cell r="H4">
            <v>0.88</v>
          </cell>
          <cell r="I4">
            <v>0.92</v>
          </cell>
          <cell r="J4">
            <v>1.25</v>
          </cell>
          <cell r="K4">
            <v>1.42</v>
          </cell>
          <cell r="L4">
            <v>1.65</v>
          </cell>
          <cell r="M4">
            <v>1.91</v>
          </cell>
          <cell r="N4">
            <v>2.11</v>
          </cell>
          <cell r="O4">
            <v>2.27</v>
          </cell>
          <cell r="P4">
            <v>2.46</v>
          </cell>
          <cell r="Q4">
            <v>2.56</v>
          </cell>
        </row>
        <row r="5">
          <cell r="A5" t="str">
            <v xml:space="preserve"> 4/29/44</v>
          </cell>
          <cell r="C5">
            <v>0.28999999999999998</v>
          </cell>
          <cell r="D5">
            <v>0.4</v>
          </cell>
          <cell r="E5">
            <v>0.7</v>
          </cell>
          <cell r="F5">
            <v>0.76</v>
          </cell>
          <cell r="G5">
            <v>0.78</v>
          </cell>
          <cell r="H5">
            <v>0.89</v>
          </cell>
          <cell r="I5">
            <v>0.94</v>
          </cell>
          <cell r="J5">
            <v>1.23</v>
          </cell>
          <cell r="K5">
            <v>1.37</v>
          </cell>
          <cell r="L5">
            <v>1.63</v>
          </cell>
          <cell r="M5">
            <v>1.92</v>
          </cell>
          <cell r="N5">
            <v>2.13</v>
          </cell>
          <cell r="O5">
            <v>2.2799999999999998</v>
          </cell>
          <cell r="P5">
            <v>2.4700000000000002</v>
          </cell>
          <cell r="Q5">
            <v>2.57</v>
          </cell>
        </row>
        <row r="6">
          <cell r="A6" t="str">
            <v xml:space="preserve"> 5/31/44</v>
          </cell>
          <cell r="C6">
            <v>0.3</v>
          </cell>
          <cell r="D6">
            <v>0.55000000000000004</v>
          </cell>
          <cell r="E6">
            <v>0.74</v>
          </cell>
          <cell r="F6">
            <v>0.78</v>
          </cell>
          <cell r="G6">
            <v>0.79</v>
          </cell>
          <cell r="H6">
            <v>0.89</v>
          </cell>
          <cell r="I6">
            <v>0.94</v>
          </cell>
          <cell r="J6">
            <v>1.24</v>
          </cell>
          <cell r="K6">
            <v>1.39</v>
          </cell>
          <cell r="L6">
            <v>1.64</v>
          </cell>
          <cell r="M6">
            <v>1.92</v>
          </cell>
          <cell r="N6">
            <v>2.12</v>
          </cell>
          <cell r="O6">
            <v>2.2799999999999998</v>
          </cell>
          <cell r="P6">
            <v>2.4700000000000002</v>
          </cell>
          <cell r="Q6">
            <v>2.56</v>
          </cell>
        </row>
        <row r="7">
          <cell r="A7" t="str">
            <v xml:space="preserve"> 6/30/44</v>
          </cell>
          <cell r="C7">
            <v>0.32</v>
          </cell>
          <cell r="D7">
            <v>0.52</v>
          </cell>
          <cell r="E7">
            <v>0.8</v>
          </cell>
          <cell r="F7">
            <v>0.78</v>
          </cell>
          <cell r="G7">
            <v>0.76</v>
          </cell>
          <cell r="H7">
            <v>0.9</v>
          </cell>
          <cell r="I7">
            <v>0.96</v>
          </cell>
          <cell r="J7">
            <v>1.26</v>
          </cell>
          <cell r="K7">
            <v>1.41</v>
          </cell>
          <cell r="L7">
            <v>1.65</v>
          </cell>
          <cell r="M7">
            <v>1.93</v>
          </cell>
          <cell r="N7">
            <v>2.14</v>
          </cell>
          <cell r="O7">
            <v>2.2999999999999998</v>
          </cell>
          <cell r="P7">
            <v>2.48</v>
          </cell>
          <cell r="Q7">
            <v>2.57</v>
          </cell>
        </row>
        <row r="8">
          <cell r="A8" t="str">
            <v xml:space="preserve"> 7/31/44</v>
          </cell>
          <cell r="C8">
            <v>0.28999999999999998</v>
          </cell>
          <cell r="D8">
            <v>0.53</v>
          </cell>
          <cell r="E8">
            <v>0.7</v>
          </cell>
          <cell r="F8">
            <v>0.74</v>
          </cell>
          <cell r="G8">
            <v>0.76</v>
          </cell>
          <cell r="H8">
            <v>0.87</v>
          </cell>
          <cell r="I8">
            <v>0.93</v>
          </cell>
          <cell r="J8">
            <v>1.24</v>
          </cell>
          <cell r="K8">
            <v>1.39</v>
          </cell>
          <cell r="L8">
            <v>1.64</v>
          </cell>
          <cell r="M8">
            <v>1.92</v>
          </cell>
          <cell r="N8">
            <v>2.13</v>
          </cell>
          <cell r="O8">
            <v>2.2999999999999998</v>
          </cell>
          <cell r="P8">
            <v>2.4700000000000002</v>
          </cell>
          <cell r="Q8">
            <v>2.56</v>
          </cell>
        </row>
        <row r="9">
          <cell r="A9" t="str">
            <v xml:space="preserve"> 8/31/44</v>
          </cell>
          <cell r="C9">
            <v>0.28999999999999998</v>
          </cell>
          <cell r="D9">
            <v>0.39</v>
          </cell>
          <cell r="E9">
            <v>0.69</v>
          </cell>
          <cell r="F9">
            <v>0.73</v>
          </cell>
          <cell r="G9">
            <v>0.75</v>
          </cell>
          <cell r="H9">
            <v>0.89</v>
          </cell>
          <cell r="I9">
            <v>0.95</v>
          </cell>
          <cell r="J9">
            <v>1.24</v>
          </cell>
          <cell r="K9">
            <v>1.38</v>
          </cell>
          <cell r="L9">
            <v>1.62</v>
          </cell>
          <cell r="M9">
            <v>1.9</v>
          </cell>
          <cell r="N9">
            <v>2.1</v>
          </cell>
          <cell r="O9">
            <v>2.2599999999999998</v>
          </cell>
          <cell r="P9">
            <v>2.46</v>
          </cell>
          <cell r="Q9">
            <v>2.56</v>
          </cell>
        </row>
        <row r="10">
          <cell r="A10" t="str">
            <v xml:space="preserve"> 9/30/44</v>
          </cell>
          <cell r="C10">
            <v>0.33</v>
          </cell>
          <cell r="D10">
            <v>0.43</v>
          </cell>
          <cell r="E10">
            <v>0.78</v>
          </cell>
          <cell r="F10">
            <v>0.78</v>
          </cell>
          <cell r="G10">
            <v>0.78</v>
          </cell>
          <cell r="H10">
            <v>0.9</v>
          </cell>
          <cell r="I10">
            <v>0.96</v>
          </cell>
          <cell r="J10">
            <v>1.25</v>
          </cell>
          <cell r="K10">
            <v>1.4</v>
          </cell>
          <cell r="L10">
            <v>1.64</v>
          </cell>
          <cell r="M10">
            <v>1.91</v>
          </cell>
          <cell r="N10">
            <v>2.12</v>
          </cell>
          <cell r="O10">
            <v>2.27</v>
          </cell>
          <cell r="P10">
            <v>2.4700000000000002</v>
          </cell>
          <cell r="Q10">
            <v>2.56</v>
          </cell>
        </row>
        <row r="11">
          <cell r="A11" t="str">
            <v>10/31/44</v>
          </cell>
          <cell r="C11">
            <v>0.3</v>
          </cell>
          <cell r="D11">
            <v>0.45</v>
          </cell>
          <cell r="E11">
            <v>0.78</v>
          </cell>
          <cell r="F11">
            <v>0.77</v>
          </cell>
          <cell r="G11">
            <v>0.77</v>
          </cell>
          <cell r="H11">
            <v>0.94</v>
          </cell>
          <cell r="I11">
            <v>1.02</v>
          </cell>
          <cell r="J11">
            <v>1.29</v>
          </cell>
          <cell r="K11">
            <v>1.42</v>
          </cell>
          <cell r="L11">
            <v>1.66</v>
          </cell>
          <cell r="M11">
            <v>1.93</v>
          </cell>
          <cell r="N11">
            <v>2.13</v>
          </cell>
          <cell r="O11">
            <v>2.29</v>
          </cell>
          <cell r="P11">
            <v>2.48</v>
          </cell>
          <cell r="Q11">
            <v>2.57</v>
          </cell>
        </row>
        <row r="12">
          <cell r="A12" t="str">
            <v>11/30/44</v>
          </cell>
          <cell r="C12">
            <v>0.28999999999999998</v>
          </cell>
          <cell r="D12">
            <v>0.51</v>
          </cell>
          <cell r="E12">
            <v>0.81</v>
          </cell>
          <cell r="F12">
            <v>0.8</v>
          </cell>
          <cell r="G12">
            <v>0.79</v>
          </cell>
          <cell r="H12">
            <v>0.97</v>
          </cell>
          <cell r="I12">
            <v>1.06</v>
          </cell>
          <cell r="J12">
            <v>1.31</v>
          </cell>
          <cell r="K12">
            <v>1.44</v>
          </cell>
          <cell r="L12">
            <v>1.67</v>
          </cell>
          <cell r="M12">
            <v>1.93</v>
          </cell>
          <cell r="N12">
            <v>2.13</v>
          </cell>
          <cell r="O12">
            <v>2.2799999999999998</v>
          </cell>
          <cell r="P12">
            <v>2.48</v>
          </cell>
          <cell r="Q12">
            <v>2.56</v>
          </cell>
        </row>
        <row r="13">
          <cell r="A13" t="str">
            <v>12/30/44</v>
          </cell>
          <cell r="C13">
            <v>0.28999999999999998</v>
          </cell>
          <cell r="D13">
            <v>0.46</v>
          </cell>
          <cell r="E13">
            <v>0.81</v>
          </cell>
          <cell r="F13">
            <v>0.82</v>
          </cell>
          <cell r="G13">
            <v>0.82</v>
          </cell>
          <cell r="H13">
            <v>0.97</v>
          </cell>
          <cell r="I13">
            <v>1.05</v>
          </cell>
          <cell r="J13">
            <v>1.32</v>
          </cell>
          <cell r="K13">
            <v>1.45</v>
          </cell>
          <cell r="L13">
            <v>1.68</v>
          </cell>
          <cell r="M13">
            <v>1.94</v>
          </cell>
          <cell r="N13">
            <v>2.13</v>
          </cell>
          <cell r="O13">
            <v>2.2799999999999998</v>
          </cell>
          <cell r="P13">
            <v>2.4700000000000002</v>
          </cell>
          <cell r="Q13">
            <v>2.5499999999999998</v>
          </cell>
        </row>
        <row r="14">
          <cell r="A14" t="str">
            <v xml:space="preserve"> 1/31/45</v>
          </cell>
          <cell r="C14">
            <v>0.28999999999999998</v>
          </cell>
          <cell r="D14">
            <v>0.49</v>
          </cell>
          <cell r="E14">
            <v>0.72</v>
          </cell>
          <cell r="F14">
            <v>0.76</v>
          </cell>
          <cell r="G14">
            <v>0.78</v>
          </cell>
          <cell r="H14">
            <v>0.91</v>
          </cell>
          <cell r="I14">
            <v>0.98</v>
          </cell>
          <cell r="J14">
            <v>1.22</v>
          </cell>
          <cell r="K14">
            <v>1.34</v>
          </cell>
          <cell r="L14">
            <v>1.56</v>
          </cell>
          <cell r="M14">
            <v>1.81</v>
          </cell>
          <cell r="N14">
            <v>1.99</v>
          </cell>
          <cell r="O14">
            <v>2.14</v>
          </cell>
          <cell r="P14">
            <v>2.39</v>
          </cell>
          <cell r="Q14">
            <v>2.5</v>
          </cell>
        </row>
        <row r="15">
          <cell r="A15" t="str">
            <v xml:space="preserve"> 2/28/45</v>
          </cell>
          <cell r="C15">
            <v>0.28999999999999998</v>
          </cell>
          <cell r="D15">
            <v>0.41</v>
          </cell>
          <cell r="E15">
            <v>0.68</v>
          </cell>
          <cell r="F15">
            <v>0.75</v>
          </cell>
          <cell r="G15">
            <v>0.78</v>
          </cell>
          <cell r="H15">
            <v>0.87</v>
          </cell>
          <cell r="I15">
            <v>0.91</v>
          </cell>
          <cell r="J15">
            <v>1.1599999999999999</v>
          </cell>
          <cell r="K15">
            <v>1.29</v>
          </cell>
          <cell r="L15">
            <v>1.5</v>
          </cell>
          <cell r="M15">
            <v>1.75</v>
          </cell>
          <cell r="N15">
            <v>1.93</v>
          </cell>
          <cell r="O15">
            <v>2.0699999999999998</v>
          </cell>
          <cell r="P15">
            <v>2.35</v>
          </cell>
          <cell r="Q15">
            <v>2.48</v>
          </cell>
        </row>
        <row r="16">
          <cell r="A16" t="str">
            <v xml:space="preserve"> 3/31/45</v>
          </cell>
          <cell r="C16">
            <v>0.33</v>
          </cell>
          <cell r="D16">
            <v>0.39</v>
          </cell>
          <cell r="E16">
            <v>0.66</v>
          </cell>
          <cell r="F16">
            <v>0.74</v>
          </cell>
          <cell r="G16">
            <v>0.78</v>
          </cell>
          <cell r="H16">
            <v>0.87</v>
          </cell>
          <cell r="I16">
            <v>0.92</v>
          </cell>
          <cell r="J16">
            <v>1.1599999999999999</v>
          </cell>
          <cell r="K16">
            <v>1.28</v>
          </cell>
          <cell r="L16">
            <v>1.48</v>
          </cell>
          <cell r="M16">
            <v>1.71</v>
          </cell>
          <cell r="N16">
            <v>1.88</v>
          </cell>
          <cell r="O16">
            <v>2.0099999999999998</v>
          </cell>
          <cell r="P16">
            <v>2.35</v>
          </cell>
          <cell r="Q16">
            <v>2.4900000000000002</v>
          </cell>
        </row>
        <row r="17">
          <cell r="A17" t="str">
            <v xml:space="preserve"> 4/30/45</v>
          </cell>
          <cell r="C17">
            <v>0.28999999999999998</v>
          </cell>
          <cell r="D17">
            <v>0.47</v>
          </cell>
          <cell r="E17">
            <v>0.74</v>
          </cell>
          <cell r="F17">
            <v>0.78</v>
          </cell>
          <cell r="G17">
            <v>0.8</v>
          </cell>
          <cell r="H17">
            <v>0.92</v>
          </cell>
          <cell r="I17">
            <v>0.98</v>
          </cell>
          <cell r="J17">
            <v>1.1299999999999999</v>
          </cell>
          <cell r="K17">
            <v>1.2</v>
          </cell>
          <cell r="L17">
            <v>1.39</v>
          </cell>
          <cell r="M17">
            <v>1.59</v>
          </cell>
          <cell r="N17">
            <v>1.75</v>
          </cell>
          <cell r="O17">
            <v>1.87</v>
          </cell>
          <cell r="P17">
            <v>2.2599999999999998</v>
          </cell>
          <cell r="Q17">
            <v>2.41</v>
          </cell>
        </row>
        <row r="18">
          <cell r="A18" t="str">
            <v xml:space="preserve"> 5/31/45</v>
          </cell>
          <cell r="C18">
            <v>0.28999999999999998</v>
          </cell>
          <cell r="D18">
            <v>0.47</v>
          </cell>
          <cell r="E18">
            <v>0.77</v>
          </cell>
          <cell r="F18">
            <v>0.81</v>
          </cell>
          <cell r="G18">
            <v>0.83</v>
          </cell>
          <cell r="H18">
            <v>0.97</v>
          </cell>
          <cell r="I18">
            <v>1.04</v>
          </cell>
          <cell r="J18">
            <v>1.2</v>
          </cell>
          <cell r="K18">
            <v>1.28</v>
          </cell>
          <cell r="L18">
            <v>1.44</v>
          </cell>
          <cell r="M18">
            <v>1.62</v>
          </cell>
          <cell r="N18">
            <v>1.75</v>
          </cell>
          <cell r="O18">
            <v>1.86</v>
          </cell>
          <cell r="P18">
            <v>2.2400000000000002</v>
          </cell>
          <cell r="Q18">
            <v>2.39</v>
          </cell>
        </row>
        <row r="19">
          <cell r="A19" t="str">
            <v xml:space="preserve"> 6/30/45</v>
          </cell>
          <cell r="C19">
            <v>0.33</v>
          </cell>
          <cell r="D19">
            <v>0.56999999999999995</v>
          </cell>
          <cell r="E19">
            <v>0.79</v>
          </cell>
          <cell r="F19">
            <v>0.81</v>
          </cell>
          <cell r="G19">
            <v>0.82</v>
          </cell>
          <cell r="H19">
            <v>0.98</v>
          </cell>
          <cell r="I19">
            <v>1.06</v>
          </cell>
          <cell r="J19">
            <v>1.1499999999999999</v>
          </cell>
          <cell r="K19">
            <v>1.2</v>
          </cell>
          <cell r="L19">
            <v>1.36</v>
          </cell>
          <cell r="M19">
            <v>1.55</v>
          </cell>
          <cell r="N19">
            <v>1.7</v>
          </cell>
          <cell r="O19">
            <v>1.81</v>
          </cell>
          <cell r="P19">
            <v>2.16</v>
          </cell>
          <cell r="Q19">
            <v>2.29</v>
          </cell>
        </row>
        <row r="20">
          <cell r="A20" t="str">
            <v xml:space="preserve"> 7/31/45</v>
          </cell>
          <cell r="C20">
            <v>0.3</v>
          </cell>
          <cell r="D20">
            <v>0.42</v>
          </cell>
          <cell r="E20">
            <v>0.86</v>
          </cell>
          <cell r="F20">
            <v>0.84</v>
          </cell>
          <cell r="G20">
            <v>0.83</v>
          </cell>
          <cell r="H20">
            <v>1.02</v>
          </cell>
          <cell r="I20">
            <v>1.1100000000000001</v>
          </cell>
          <cell r="J20">
            <v>1.21</v>
          </cell>
          <cell r="K20">
            <v>1.26</v>
          </cell>
          <cell r="L20">
            <v>1.41</v>
          </cell>
          <cell r="M20">
            <v>1.59</v>
          </cell>
          <cell r="N20">
            <v>1.73</v>
          </cell>
          <cell r="O20">
            <v>1.83</v>
          </cell>
          <cell r="P20">
            <v>2.2200000000000002</v>
          </cell>
          <cell r="Q20">
            <v>2.36</v>
          </cell>
        </row>
        <row r="21">
          <cell r="A21" t="str">
            <v xml:space="preserve"> 8/31/45</v>
          </cell>
          <cell r="C21">
            <v>0.32</v>
          </cell>
          <cell r="D21">
            <v>0.53</v>
          </cell>
          <cell r="E21">
            <v>0.84</v>
          </cell>
          <cell r="F21">
            <v>0.84</v>
          </cell>
          <cell r="G21">
            <v>0.84</v>
          </cell>
          <cell r="H21">
            <v>0.98</v>
          </cell>
          <cell r="I21">
            <v>1.05</v>
          </cell>
          <cell r="J21">
            <v>1.2</v>
          </cell>
          <cell r="K21">
            <v>1.28</v>
          </cell>
          <cell r="L21">
            <v>1.42</v>
          </cell>
          <cell r="M21">
            <v>1.58</v>
          </cell>
          <cell r="N21">
            <v>1.7</v>
          </cell>
          <cell r="O21">
            <v>1.8</v>
          </cell>
          <cell r="P21">
            <v>2.21</v>
          </cell>
          <cell r="Q21">
            <v>2.36</v>
          </cell>
        </row>
        <row r="22">
          <cell r="A22" t="str">
            <v xml:space="preserve"> 9/29/45</v>
          </cell>
          <cell r="C22">
            <v>0.33</v>
          </cell>
          <cell r="D22">
            <v>0.56999999999999995</v>
          </cell>
          <cell r="E22">
            <v>0.86</v>
          </cell>
          <cell r="F22">
            <v>0.86</v>
          </cell>
          <cell r="G22">
            <v>0.86</v>
          </cell>
          <cell r="H22">
            <v>0.98</v>
          </cell>
          <cell r="I22">
            <v>1.04</v>
          </cell>
          <cell r="J22">
            <v>1.2</v>
          </cell>
          <cell r="K22">
            <v>1.29</v>
          </cell>
          <cell r="L22">
            <v>1.42</v>
          </cell>
          <cell r="M22">
            <v>1.57</v>
          </cell>
          <cell r="N22">
            <v>1.68</v>
          </cell>
          <cell r="O22">
            <v>1.77</v>
          </cell>
          <cell r="P22">
            <v>2.19</v>
          </cell>
          <cell r="Q22">
            <v>2.34</v>
          </cell>
        </row>
        <row r="23">
          <cell r="A23" t="str">
            <v>10/31/45</v>
          </cell>
          <cell r="C23">
            <v>0.28999999999999998</v>
          </cell>
          <cell r="D23">
            <v>0.53</v>
          </cell>
          <cell r="E23">
            <v>0.86</v>
          </cell>
          <cell r="F23">
            <v>0.85</v>
          </cell>
          <cell r="G23">
            <v>0.84</v>
          </cell>
          <cell r="H23">
            <v>0.96</v>
          </cell>
          <cell r="I23">
            <v>1.01</v>
          </cell>
          <cell r="J23">
            <v>1.1599999999999999</v>
          </cell>
          <cell r="K23">
            <v>1.23</v>
          </cell>
          <cell r="L23">
            <v>1.36</v>
          </cell>
          <cell r="M23">
            <v>1.51</v>
          </cell>
          <cell r="N23">
            <v>1.62</v>
          </cell>
          <cell r="O23">
            <v>1.71</v>
          </cell>
          <cell r="P23">
            <v>2.15</v>
          </cell>
          <cell r="Q23">
            <v>2.29</v>
          </cell>
        </row>
        <row r="24">
          <cell r="A24" t="str">
            <v>11/30/45</v>
          </cell>
          <cell r="C24">
            <v>0.32</v>
          </cell>
          <cell r="D24">
            <v>0.64</v>
          </cell>
          <cell r="E24">
            <v>0.86</v>
          </cell>
          <cell r="F24">
            <v>0.87</v>
          </cell>
          <cell r="G24">
            <v>0.87</v>
          </cell>
          <cell r="H24">
            <v>0.98</v>
          </cell>
          <cell r="I24">
            <v>1.04</v>
          </cell>
          <cell r="J24">
            <v>1.1200000000000001</v>
          </cell>
          <cell r="K24">
            <v>1.1499999999999999</v>
          </cell>
          <cell r="L24">
            <v>1.29</v>
          </cell>
          <cell r="M24">
            <v>1.44</v>
          </cell>
          <cell r="N24">
            <v>1.56</v>
          </cell>
          <cell r="O24">
            <v>1.65</v>
          </cell>
          <cell r="P24">
            <v>2.09</v>
          </cell>
          <cell r="Q24">
            <v>2.23</v>
          </cell>
        </row>
        <row r="25">
          <cell r="A25" t="str">
            <v>12/31/45</v>
          </cell>
          <cell r="C25">
            <v>0.34</v>
          </cell>
          <cell r="D25">
            <v>0.51</v>
          </cell>
          <cell r="E25">
            <v>0.86</v>
          </cell>
          <cell r="F25">
            <v>0.85</v>
          </cell>
          <cell r="G25">
            <v>0.85</v>
          </cell>
          <cell r="H25">
            <v>0.94</v>
          </cell>
          <cell r="I25">
            <v>0.99</v>
          </cell>
          <cell r="J25">
            <v>1.1100000000000001</v>
          </cell>
          <cell r="K25">
            <v>1.17</v>
          </cell>
          <cell r="L25">
            <v>1.23</v>
          </cell>
          <cell r="M25">
            <v>1.29</v>
          </cell>
          <cell r="N25">
            <v>1.7</v>
          </cell>
          <cell r="O25">
            <v>2.2400000000000002</v>
          </cell>
          <cell r="P25">
            <v>2.09</v>
          </cell>
          <cell r="Q25">
            <v>2.02</v>
          </cell>
        </row>
        <row r="26">
          <cell r="A26" t="str">
            <v xml:space="preserve"> 1/31/46</v>
          </cell>
          <cell r="C26">
            <v>0.33</v>
          </cell>
          <cell r="D26">
            <v>0.47</v>
          </cell>
          <cell r="E26">
            <v>0.78</v>
          </cell>
          <cell r="F26">
            <v>0.79</v>
          </cell>
          <cell r="G26">
            <v>0.79</v>
          </cell>
          <cell r="H26">
            <v>0.85</v>
          </cell>
          <cell r="I26">
            <v>0.88</v>
          </cell>
          <cell r="J26">
            <v>1</v>
          </cell>
          <cell r="K26">
            <v>1.06</v>
          </cell>
          <cell r="L26">
            <v>1.1499999999999999</v>
          </cell>
          <cell r="M26">
            <v>1.25</v>
          </cell>
          <cell r="N26">
            <v>1.64</v>
          </cell>
          <cell r="O26">
            <v>2.11</v>
          </cell>
          <cell r="P26">
            <v>2.0699999999999998</v>
          </cell>
          <cell r="Q26">
            <v>2.04</v>
          </cell>
        </row>
        <row r="27">
          <cell r="A27" t="str">
            <v xml:space="preserve"> 2/28/46</v>
          </cell>
          <cell r="C27">
            <v>0.33</v>
          </cell>
          <cell r="D27">
            <v>0.45</v>
          </cell>
          <cell r="E27">
            <v>0.71</v>
          </cell>
          <cell r="F27">
            <v>0.75</v>
          </cell>
          <cell r="G27">
            <v>0.77</v>
          </cell>
          <cell r="H27">
            <v>0.78</v>
          </cell>
          <cell r="I27">
            <v>0.79</v>
          </cell>
          <cell r="J27">
            <v>0.9</v>
          </cell>
          <cell r="K27">
            <v>0.96</v>
          </cell>
          <cell r="L27">
            <v>1.1000000000000001</v>
          </cell>
          <cell r="M27">
            <v>1.25</v>
          </cell>
          <cell r="N27">
            <v>1.62</v>
          </cell>
          <cell r="O27">
            <v>2.0499999999999998</v>
          </cell>
          <cell r="P27">
            <v>2.0499999999999998</v>
          </cell>
          <cell r="Q27">
            <v>2.04</v>
          </cell>
        </row>
        <row r="28">
          <cell r="A28" t="str">
            <v xml:space="preserve"> 3/30/46</v>
          </cell>
          <cell r="C28">
            <v>0.33</v>
          </cell>
          <cell r="D28">
            <v>0.56000000000000005</v>
          </cell>
          <cell r="E28">
            <v>0.81</v>
          </cell>
          <cell r="F28">
            <v>0.81</v>
          </cell>
          <cell r="G28">
            <v>0.8</v>
          </cell>
          <cell r="H28">
            <v>0.88</v>
          </cell>
          <cell r="I28">
            <v>0.92</v>
          </cell>
          <cell r="J28">
            <v>1.03</v>
          </cell>
          <cell r="K28">
            <v>1.0900000000000001</v>
          </cell>
          <cell r="L28">
            <v>1.1599999999999999</v>
          </cell>
          <cell r="M28">
            <v>1.25</v>
          </cell>
          <cell r="N28">
            <v>1.6</v>
          </cell>
          <cell r="O28">
            <v>2.04</v>
          </cell>
          <cell r="P28">
            <v>2.0499999999999998</v>
          </cell>
          <cell r="Q28">
            <v>2.04</v>
          </cell>
        </row>
        <row r="29">
          <cell r="A29" t="str">
            <v xml:space="preserve"> 4/30/46</v>
          </cell>
          <cell r="C29">
            <v>0.34</v>
          </cell>
          <cell r="D29">
            <v>0.55000000000000004</v>
          </cell>
          <cell r="E29">
            <v>0.85</v>
          </cell>
          <cell r="F29">
            <v>0.86</v>
          </cell>
          <cell r="G29">
            <v>0.86</v>
          </cell>
          <cell r="H29">
            <v>0.95</v>
          </cell>
          <cell r="I29">
            <v>0.99</v>
          </cell>
          <cell r="J29">
            <v>1.1299999999999999</v>
          </cell>
          <cell r="K29">
            <v>1.21</v>
          </cell>
          <cell r="L29">
            <v>1.3</v>
          </cell>
          <cell r="M29">
            <v>1.4</v>
          </cell>
          <cell r="N29">
            <v>1.75</v>
          </cell>
          <cell r="O29">
            <v>2.17</v>
          </cell>
          <cell r="P29">
            <v>2.14</v>
          </cell>
          <cell r="Q29">
            <v>2.12</v>
          </cell>
        </row>
        <row r="30">
          <cell r="A30" t="str">
            <v xml:space="preserve"> 5/31/46</v>
          </cell>
          <cell r="C30">
            <v>0.35</v>
          </cell>
          <cell r="D30">
            <v>0.56000000000000005</v>
          </cell>
          <cell r="E30">
            <v>0.86</v>
          </cell>
          <cell r="F30">
            <v>0.85</v>
          </cell>
          <cell r="G30">
            <v>0.84</v>
          </cell>
          <cell r="H30">
            <v>0.95</v>
          </cell>
          <cell r="I30">
            <v>1</v>
          </cell>
          <cell r="J30">
            <v>1.1399999999999999</v>
          </cell>
          <cell r="K30">
            <v>1.21</v>
          </cell>
          <cell r="L30">
            <v>1.31</v>
          </cell>
          <cell r="M30">
            <v>1.43</v>
          </cell>
          <cell r="N30">
            <v>1.76</v>
          </cell>
          <cell r="O30">
            <v>2.15</v>
          </cell>
          <cell r="P30">
            <v>2.16</v>
          </cell>
          <cell r="Q30">
            <v>2.15</v>
          </cell>
        </row>
        <row r="31">
          <cell r="A31" t="str">
            <v xml:space="preserve"> 6/28/46</v>
          </cell>
          <cell r="C31">
            <v>0.33</v>
          </cell>
          <cell r="D31">
            <v>0.67</v>
          </cell>
          <cell r="E31">
            <v>0.86</v>
          </cell>
          <cell r="F31">
            <v>0.84</v>
          </cell>
          <cell r="G31">
            <v>0.83</v>
          </cell>
          <cell r="H31">
            <v>0.92</v>
          </cell>
          <cell r="I31">
            <v>0.96</v>
          </cell>
          <cell r="J31">
            <v>1.08</v>
          </cell>
          <cell r="K31">
            <v>1.1299999999999999</v>
          </cell>
          <cell r="L31">
            <v>1.25</v>
          </cell>
          <cell r="M31">
            <v>1.38</v>
          </cell>
          <cell r="N31">
            <v>1.73</v>
          </cell>
          <cell r="O31">
            <v>2.14</v>
          </cell>
          <cell r="P31">
            <v>2.13</v>
          </cell>
          <cell r="Q31">
            <v>2.11</v>
          </cell>
        </row>
        <row r="32">
          <cell r="A32" t="str">
            <v xml:space="preserve"> 7/31/46</v>
          </cell>
          <cell r="C32">
            <v>0.32</v>
          </cell>
          <cell r="D32">
            <v>0.61</v>
          </cell>
          <cell r="E32">
            <v>0.87</v>
          </cell>
          <cell r="F32">
            <v>0.85</v>
          </cell>
          <cell r="G32">
            <v>0.84</v>
          </cell>
          <cell r="H32">
            <v>0.93</v>
          </cell>
          <cell r="I32">
            <v>0.97</v>
          </cell>
          <cell r="J32">
            <v>1.1100000000000001</v>
          </cell>
          <cell r="K32">
            <v>1.17</v>
          </cell>
          <cell r="L32">
            <v>1.28</v>
          </cell>
          <cell r="M32">
            <v>1.4</v>
          </cell>
          <cell r="N32">
            <v>1.77</v>
          </cell>
          <cell r="O32">
            <v>2.2200000000000002</v>
          </cell>
          <cell r="P32">
            <v>2.17</v>
          </cell>
          <cell r="Q32">
            <v>2.14</v>
          </cell>
        </row>
        <row r="33">
          <cell r="A33" t="str">
            <v xml:space="preserve"> 8/30/46</v>
          </cell>
          <cell r="C33">
            <v>0.33</v>
          </cell>
          <cell r="D33">
            <v>0.56999999999999995</v>
          </cell>
          <cell r="E33">
            <v>0.88</v>
          </cell>
          <cell r="F33">
            <v>0.87</v>
          </cell>
          <cell r="G33">
            <v>0.87</v>
          </cell>
          <cell r="H33">
            <v>0.97</v>
          </cell>
          <cell r="I33">
            <v>1.02</v>
          </cell>
          <cell r="J33">
            <v>1.1599999999999999</v>
          </cell>
          <cell r="K33">
            <v>1.23</v>
          </cell>
          <cell r="L33">
            <v>1.35</v>
          </cell>
          <cell r="M33">
            <v>1.49</v>
          </cell>
          <cell r="N33">
            <v>1.83</v>
          </cell>
          <cell r="O33">
            <v>2.23</v>
          </cell>
          <cell r="P33">
            <v>2.2400000000000002</v>
          </cell>
          <cell r="Q33">
            <v>2.23</v>
          </cell>
        </row>
        <row r="34">
          <cell r="A34" t="str">
            <v xml:space="preserve"> 9/30/46</v>
          </cell>
          <cell r="C34">
            <v>0.34</v>
          </cell>
          <cell r="D34">
            <v>0.57999999999999996</v>
          </cell>
          <cell r="E34">
            <v>0.89</v>
          </cell>
          <cell r="F34">
            <v>0.87</v>
          </cell>
          <cell r="G34">
            <v>0.86</v>
          </cell>
          <cell r="H34">
            <v>1.03</v>
          </cell>
          <cell r="I34">
            <v>1.1100000000000001</v>
          </cell>
          <cell r="J34">
            <v>1.25</v>
          </cell>
          <cell r="K34">
            <v>1.32</v>
          </cell>
          <cell r="L34">
            <v>1.43</v>
          </cell>
          <cell r="M34">
            <v>1.55</v>
          </cell>
          <cell r="N34">
            <v>1.88</v>
          </cell>
          <cell r="O34">
            <v>2.2599999999999998</v>
          </cell>
          <cell r="P34">
            <v>2.25</v>
          </cell>
          <cell r="Q34">
            <v>2.2400000000000002</v>
          </cell>
        </row>
        <row r="35">
          <cell r="A35" t="str">
            <v>10/31/46</v>
          </cell>
          <cell r="C35">
            <v>0.32</v>
          </cell>
          <cell r="D35">
            <v>0.55000000000000004</v>
          </cell>
          <cell r="E35">
            <v>0.89</v>
          </cell>
          <cell r="F35">
            <v>0.86</v>
          </cell>
          <cell r="G35">
            <v>0.84</v>
          </cell>
          <cell r="H35">
            <v>0.97</v>
          </cell>
          <cell r="I35">
            <v>1.03</v>
          </cell>
          <cell r="J35">
            <v>1.2</v>
          </cell>
          <cell r="K35">
            <v>1.29</v>
          </cell>
          <cell r="L35">
            <v>1.42</v>
          </cell>
          <cell r="M35">
            <v>1.56</v>
          </cell>
          <cell r="N35">
            <v>1.86</v>
          </cell>
          <cell r="O35">
            <v>2.2000000000000002</v>
          </cell>
          <cell r="P35">
            <v>2.2200000000000002</v>
          </cell>
          <cell r="Q35">
            <v>2.21</v>
          </cell>
        </row>
        <row r="36">
          <cell r="A36" t="str">
            <v>11/30/46</v>
          </cell>
          <cell r="C36">
            <v>0.33</v>
          </cell>
          <cell r="D36">
            <v>0.7</v>
          </cell>
          <cell r="E36">
            <v>0.87</v>
          </cell>
          <cell r="F36">
            <v>0.86</v>
          </cell>
          <cell r="G36">
            <v>0.86</v>
          </cell>
          <cell r="H36">
            <v>1.02</v>
          </cell>
          <cell r="I36">
            <v>1.1000000000000001</v>
          </cell>
          <cell r="J36">
            <v>1.27</v>
          </cell>
          <cell r="K36">
            <v>1.36</v>
          </cell>
          <cell r="L36">
            <v>1.5</v>
          </cell>
          <cell r="M36">
            <v>1.66</v>
          </cell>
          <cell r="N36">
            <v>1.94</v>
          </cell>
          <cell r="O36">
            <v>2.25</v>
          </cell>
          <cell r="P36">
            <v>2.2599999999999998</v>
          </cell>
          <cell r="Q36">
            <v>2.25</v>
          </cell>
        </row>
        <row r="37">
          <cell r="A37" t="str">
            <v>12/31/46</v>
          </cell>
          <cell r="C37">
            <v>0.32</v>
          </cell>
          <cell r="D37">
            <v>0.47</v>
          </cell>
          <cell r="E37">
            <v>0.84</v>
          </cell>
          <cell r="F37">
            <v>0.85</v>
          </cell>
          <cell r="G37">
            <v>0.86</v>
          </cell>
          <cell r="H37">
            <v>0.97</v>
          </cell>
          <cell r="I37">
            <v>1.03</v>
          </cell>
          <cell r="J37">
            <v>1.2</v>
          </cell>
          <cell r="K37">
            <v>1.29</v>
          </cell>
          <cell r="L37">
            <v>1.41</v>
          </cell>
          <cell r="M37">
            <v>1.55</v>
          </cell>
          <cell r="N37">
            <v>1.85</v>
          </cell>
          <cell r="O37">
            <v>2.2000000000000002</v>
          </cell>
          <cell r="P37">
            <v>2.1800000000000002</v>
          </cell>
          <cell r="Q37">
            <v>2.17</v>
          </cell>
        </row>
        <row r="38">
          <cell r="A38" t="str">
            <v xml:space="preserve"> 1/31/47</v>
          </cell>
          <cell r="C38">
            <v>0.33</v>
          </cell>
          <cell r="D38">
            <v>0.44</v>
          </cell>
          <cell r="E38">
            <v>0.83</v>
          </cell>
          <cell r="F38">
            <v>0.85</v>
          </cell>
          <cell r="G38">
            <v>0.86</v>
          </cell>
          <cell r="H38">
            <v>0.93</v>
          </cell>
          <cell r="I38">
            <v>0.97</v>
          </cell>
          <cell r="J38">
            <v>1.18</v>
          </cell>
          <cell r="K38">
            <v>1.28</v>
          </cell>
          <cell r="L38">
            <v>1.38</v>
          </cell>
          <cell r="M38">
            <v>1.49</v>
          </cell>
          <cell r="N38">
            <v>1.81</v>
          </cell>
          <cell r="O38">
            <v>2.19</v>
          </cell>
          <cell r="P38">
            <v>2.2000000000000002</v>
          </cell>
          <cell r="Q38">
            <v>2.2000000000000002</v>
          </cell>
        </row>
        <row r="39">
          <cell r="A39" t="str">
            <v xml:space="preserve"> 2/28/47</v>
          </cell>
          <cell r="C39">
            <v>0.33</v>
          </cell>
          <cell r="D39">
            <v>0.55000000000000004</v>
          </cell>
          <cell r="E39">
            <v>0.82</v>
          </cell>
          <cell r="F39">
            <v>0.85</v>
          </cell>
          <cell r="G39">
            <v>0.87</v>
          </cell>
          <cell r="H39">
            <v>0.93</v>
          </cell>
          <cell r="I39">
            <v>0.96</v>
          </cell>
          <cell r="J39">
            <v>1.19</v>
          </cell>
          <cell r="K39">
            <v>1.3</v>
          </cell>
          <cell r="L39">
            <v>1.38</v>
          </cell>
          <cell r="M39">
            <v>1.46</v>
          </cell>
          <cell r="N39">
            <v>1.79</v>
          </cell>
          <cell r="O39">
            <v>2.19</v>
          </cell>
          <cell r="P39">
            <v>2.2000000000000002</v>
          </cell>
          <cell r="Q39">
            <v>2.19</v>
          </cell>
        </row>
        <row r="40">
          <cell r="A40" t="str">
            <v xml:space="preserve"> 3/31/47</v>
          </cell>
          <cell r="C40">
            <v>0.34</v>
          </cell>
          <cell r="D40">
            <v>0.59</v>
          </cell>
          <cell r="E40">
            <v>0.77</v>
          </cell>
          <cell r="F40">
            <v>0.81</v>
          </cell>
          <cell r="G40">
            <v>0.83</v>
          </cell>
          <cell r="H40">
            <v>0.92</v>
          </cell>
          <cell r="I40">
            <v>0.96</v>
          </cell>
          <cell r="J40">
            <v>1.1599999999999999</v>
          </cell>
          <cell r="K40">
            <v>1.27</v>
          </cell>
          <cell r="L40">
            <v>1.36</v>
          </cell>
          <cell r="M40">
            <v>1.46</v>
          </cell>
          <cell r="N40">
            <v>1.79</v>
          </cell>
          <cell r="O40">
            <v>2.19</v>
          </cell>
          <cell r="P40">
            <v>2.2000000000000002</v>
          </cell>
          <cell r="Q40">
            <v>2.19</v>
          </cell>
        </row>
        <row r="41">
          <cell r="A41" t="str">
            <v xml:space="preserve"> 4/30/47</v>
          </cell>
          <cell r="C41">
            <v>0.32</v>
          </cell>
          <cell r="D41">
            <v>0.59</v>
          </cell>
          <cell r="E41">
            <v>0.85</v>
          </cell>
          <cell r="F41">
            <v>0.87</v>
          </cell>
          <cell r="G41">
            <v>0.89</v>
          </cell>
          <cell r="H41">
            <v>1.01</v>
          </cell>
          <cell r="I41">
            <v>1.07</v>
          </cell>
          <cell r="J41">
            <v>1.24</v>
          </cell>
          <cell r="K41">
            <v>1.32</v>
          </cell>
          <cell r="L41">
            <v>1.4</v>
          </cell>
          <cell r="M41">
            <v>1.48</v>
          </cell>
          <cell r="N41">
            <v>1.81</v>
          </cell>
          <cell r="O41">
            <v>2.2000000000000002</v>
          </cell>
          <cell r="P41">
            <v>2.23</v>
          </cell>
          <cell r="Q41">
            <v>2.23</v>
          </cell>
        </row>
        <row r="42">
          <cell r="A42" t="str">
            <v xml:space="preserve"> 5/29/47</v>
          </cell>
          <cell r="C42">
            <v>0.33</v>
          </cell>
          <cell r="D42">
            <v>0.68</v>
          </cell>
          <cell r="E42">
            <v>0.87</v>
          </cell>
          <cell r="F42">
            <v>0.87</v>
          </cell>
          <cell r="G42">
            <v>0.88</v>
          </cell>
          <cell r="H42">
            <v>1.02</v>
          </cell>
          <cell r="I42">
            <v>1.0900000000000001</v>
          </cell>
          <cell r="J42">
            <v>1.24</v>
          </cell>
          <cell r="K42">
            <v>1.31</v>
          </cell>
          <cell r="L42">
            <v>1.39</v>
          </cell>
          <cell r="M42">
            <v>1.47</v>
          </cell>
          <cell r="N42">
            <v>1.8</v>
          </cell>
          <cell r="O42">
            <v>2.2000000000000002</v>
          </cell>
          <cell r="P42">
            <v>2.2200000000000002</v>
          </cell>
          <cell r="Q42">
            <v>2.2200000000000002</v>
          </cell>
        </row>
        <row r="43">
          <cell r="A43" t="str">
            <v xml:space="preserve"> 6/30/47</v>
          </cell>
          <cell r="C43">
            <v>0.34</v>
          </cell>
          <cell r="D43">
            <v>0.59</v>
          </cell>
          <cell r="E43">
            <v>0.86</v>
          </cell>
          <cell r="F43">
            <v>0.86</v>
          </cell>
          <cell r="G43">
            <v>0.87</v>
          </cell>
          <cell r="H43">
            <v>1.02</v>
          </cell>
          <cell r="I43">
            <v>1.0900000000000001</v>
          </cell>
          <cell r="J43">
            <v>1.26</v>
          </cell>
          <cell r="K43">
            <v>1.34</v>
          </cell>
          <cell r="L43">
            <v>1.42</v>
          </cell>
          <cell r="M43">
            <v>1.5</v>
          </cell>
          <cell r="N43">
            <v>1.84</v>
          </cell>
          <cell r="O43">
            <v>2.2599999999999998</v>
          </cell>
          <cell r="P43">
            <v>2.2200000000000002</v>
          </cell>
          <cell r="Q43">
            <v>2.2200000000000002</v>
          </cell>
        </row>
        <row r="44">
          <cell r="A44" t="str">
            <v xml:space="preserve"> 7/31/47</v>
          </cell>
          <cell r="C44">
            <v>0.33</v>
          </cell>
          <cell r="D44">
            <v>0.75</v>
          </cell>
          <cell r="E44">
            <v>0.83</v>
          </cell>
          <cell r="F44">
            <v>0.86</v>
          </cell>
          <cell r="G44">
            <v>0.88</v>
          </cell>
          <cell r="H44">
            <v>1.04</v>
          </cell>
          <cell r="I44">
            <v>1.1200000000000001</v>
          </cell>
          <cell r="J44">
            <v>1.29</v>
          </cell>
          <cell r="K44">
            <v>1.37</v>
          </cell>
          <cell r="L44">
            <v>1.42</v>
          </cell>
          <cell r="M44">
            <v>1.48</v>
          </cell>
          <cell r="N44">
            <v>1.83</v>
          </cell>
          <cell r="O44">
            <v>2.27</v>
          </cell>
          <cell r="P44">
            <v>2.19</v>
          </cell>
          <cell r="Q44">
            <v>2.1800000000000002</v>
          </cell>
        </row>
        <row r="45">
          <cell r="A45" t="str">
            <v xml:space="preserve"> 8/29/47</v>
          </cell>
          <cell r="C45">
            <v>0.32</v>
          </cell>
          <cell r="D45">
            <v>0.74</v>
          </cell>
          <cell r="E45">
            <v>0.83</v>
          </cell>
          <cell r="F45">
            <v>0.87</v>
          </cell>
          <cell r="G45">
            <v>0.89</v>
          </cell>
          <cell r="H45">
            <v>1.03</v>
          </cell>
          <cell r="I45">
            <v>1.1000000000000001</v>
          </cell>
          <cell r="J45">
            <v>1.23</v>
          </cell>
          <cell r="K45">
            <v>1.3</v>
          </cell>
          <cell r="L45">
            <v>1.36</v>
          </cell>
          <cell r="M45">
            <v>1.43</v>
          </cell>
          <cell r="N45">
            <v>1.8</v>
          </cell>
          <cell r="O45">
            <v>2.2599999999999998</v>
          </cell>
          <cell r="P45">
            <v>2.14</v>
          </cell>
          <cell r="Q45">
            <v>2.14</v>
          </cell>
        </row>
        <row r="46">
          <cell r="A46" t="str">
            <v xml:space="preserve"> 9/30/47</v>
          </cell>
          <cell r="C46">
            <v>0.75</v>
          </cell>
          <cell r="D46">
            <v>0.82</v>
          </cell>
          <cell r="E46">
            <v>0.81</v>
          </cell>
          <cell r="F46">
            <v>0.91</v>
          </cell>
          <cell r="G46">
            <v>0.95</v>
          </cell>
          <cell r="H46">
            <v>1.08</v>
          </cell>
          <cell r="I46">
            <v>1.1499999999999999</v>
          </cell>
          <cell r="J46">
            <v>1.27</v>
          </cell>
          <cell r="K46">
            <v>1.33</v>
          </cell>
          <cell r="L46">
            <v>1.4</v>
          </cell>
          <cell r="M46">
            <v>1.48</v>
          </cell>
          <cell r="N46">
            <v>1.85</v>
          </cell>
          <cell r="O46">
            <v>2.2999999999999998</v>
          </cell>
          <cell r="P46" t="e">
            <v>#N/A</v>
          </cell>
          <cell r="Q46">
            <v>2.1800000000000002</v>
          </cell>
        </row>
        <row r="47">
          <cell r="A47" t="str">
            <v>10/31/47</v>
          </cell>
          <cell r="C47">
            <v>0.79</v>
          </cell>
          <cell r="D47">
            <v>0.85</v>
          </cell>
          <cell r="E47">
            <v>0.86</v>
          </cell>
          <cell r="F47">
            <v>0.95</v>
          </cell>
          <cell r="G47">
            <v>1</v>
          </cell>
          <cell r="H47">
            <v>1.18</v>
          </cell>
          <cell r="I47">
            <v>1.28</v>
          </cell>
          <cell r="J47">
            <v>1.42</v>
          </cell>
          <cell r="K47">
            <v>1.49</v>
          </cell>
          <cell r="L47">
            <v>1.54</v>
          </cell>
          <cell r="M47">
            <v>1.6</v>
          </cell>
          <cell r="N47">
            <v>1.95</v>
          </cell>
          <cell r="O47">
            <v>2.4</v>
          </cell>
          <cell r="P47" t="e">
            <v>#N/A</v>
          </cell>
          <cell r="Q47">
            <v>2.2000000000000002</v>
          </cell>
        </row>
        <row r="48">
          <cell r="A48" t="str">
            <v>11/28/47</v>
          </cell>
          <cell r="C48">
            <v>0.83</v>
          </cell>
          <cell r="D48">
            <v>0.9</v>
          </cell>
          <cell r="E48">
            <v>0.92</v>
          </cell>
          <cell r="F48">
            <v>1</v>
          </cell>
          <cell r="G48">
            <v>1.04</v>
          </cell>
          <cell r="H48">
            <v>1.22</v>
          </cell>
          <cell r="I48">
            <v>1.31</v>
          </cell>
          <cell r="J48">
            <v>1.47</v>
          </cell>
          <cell r="K48">
            <v>1.55</v>
          </cell>
          <cell r="L48">
            <v>1.64</v>
          </cell>
          <cell r="M48">
            <v>1.74</v>
          </cell>
          <cell r="N48">
            <v>2.0499999999999998</v>
          </cell>
          <cell r="O48">
            <v>2.44</v>
          </cell>
          <cell r="P48" t="e">
            <v>#N/A</v>
          </cell>
          <cell r="Q48">
            <v>2.33</v>
          </cell>
        </row>
        <row r="49">
          <cell r="A49" t="str">
            <v>12/31/47</v>
          </cell>
          <cell r="C49">
            <v>0.87</v>
          </cell>
          <cell r="D49">
            <v>0.91</v>
          </cell>
          <cell r="E49">
            <v>0.94</v>
          </cell>
          <cell r="F49">
            <v>1.03</v>
          </cell>
          <cell r="G49">
            <v>1.08</v>
          </cell>
          <cell r="H49">
            <v>1.2</v>
          </cell>
          <cell r="I49">
            <v>1.27</v>
          </cell>
          <cell r="J49">
            <v>1.51</v>
          </cell>
          <cell r="K49">
            <v>1.63</v>
          </cell>
          <cell r="L49">
            <v>1.82</v>
          </cell>
          <cell r="M49">
            <v>2.04</v>
          </cell>
          <cell r="N49">
            <v>2.21</v>
          </cell>
          <cell r="O49">
            <v>2.34</v>
          </cell>
          <cell r="P49" t="e">
            <v>#N/A</v>
          </cell>
          <cell r="Q49">
            <v>2.4900000000000002</v>
          </cell>
        </row>
        <row r="50">
          <cell r="A50" t="str">
            <v xml:space="preserve"> 1/30/48</v>
          </cell>
          <cell r="C50">
            <v>0.94</v>
          </cell>
          <cell r="D50">
            <v>0.97</v>
          </cell>
          <cell r="E50">
            <v>0.96</v>
          </cell>
          <cell r="F50">
            <v>1.06</v>
          </cell>
          <cell r="G50">
            <v>1.1000000000000001</v>
          </cell>
          <cell r="H50">
            <v>1.22</v>
          </cell>
          <cell r="I50">
            <v>1.27</v>
          </cell>
          <cell r="J50">
            <v>1.51</v>
          </cell>
          <cell r="K50">
            <v>1.64</v>
          </cell>
          <cell r="L50">
            <v>1.82</v>
          </cell>
          <cell r="M50">
            <v>2.04</v>
          </cell>
          <cell r="N50">
            <v>2.21</v>
          </cell>
          <cell r="O50">
            <v>2.35</v>
          </cell>
          <cell r="P50" t="e">
            <v>#N/A</v>
          </cell>
          <cell r="Q50">
            <v>2.4900000000000002</v>
          </cell>
        </row>
        <row r="51">
          <cell r="A51" t="str">
            <v xml:space="preserve"> 2/27/48</v>
          </cell>
          <cell r="C51">
            <v>0.96</v>
          </cell>
          <cell r="D51">
            <v>0.96</v>
          </cell>
          <cell r="E51">
            <v>0.99</v>
          </cell>
          <cell r="F51">
            <v>1.07</v>
          </cell>
          <cell r="G51">
            <v>1.1000000000000001</v>
          </cell>
          <cell r="H51">
            <v>1.2</v>
          </cell>
          <cell r="I51">
            <v>1.25</v>
          </cell>
          <cell r="J51">
            <v>1.51</v>
          </cell>
          <cell r="K51">
            <v>1.64</v>
          </cell>
          <cell r="L51">
            <v>1.8</v>
          </cell>
          <cell r="M51">
            <v>1.99</v>
          </cell>
          <cell r="N51">
            <v>2.19</v>
          </cell>
          <cell r="O51">
            <v>2.38</v>
          </cell>
          <cell r="P51" t="e">
            <v>#N/A</v>
          </cell>
          <cell r="Q51">
            <v>2.4700000000000002</v>
          </cell>
        </row>
        <row r="52">
          <cell r="A52" t="str">
            <v xml:space="preserve"> 3/31/48</v>
          </cell>
          <cell r="C52">
            <v>0.97</v>
          </cell>
          <cell r="D52">
            <v>0.98</v>
          </cell>
          <cell r="E52">
            <v>1.02</v>
          </cell>
          <cell r="F52">
            <v>1.08</v>
          </cell>
          <cell r="G52">
            <v>1.1100000000000001</v>
          </cell>
          <cell r="H52">
            <v>1.21</v>
          </cell>
          <cell r="I52">
            <v>1.27</v>
          </cell>
          <cell r="J52">
            <v>1.51</v>
          </cell>
          <cell r="K52">
            <v>1.62</v>
          </cell>
          <cell r="L52">
            <v>1.78</v>
          </cell>
          <cell r="M52">
            <v>1.96</v>
          </cell>
          <cell r="N52">
            <v>2.1800000000000002</v>
          </cell>
          <cell r="O52">
            <v>2.41</v>
          </cell>
          <cell r="P52" t="e">
            <v>#N/A</v>
          </cell>
          <cell r="Q52">
            <v>2.46</v>
          </cell>
        </row>
        <row r="53">
          <cell r="A53" t="str">
            <v xml:space="preserve"> 4/30/48</v>
          </cell>
          <cell r="C53">
            <v>0.99</v>
          </cell>
          <cell r="D53">
            <v>0.98</v>
          </cell>
          <cell r="E53">
            <v>1.04</v>
          </cell>
          <cell r="F53">
            <v>1.0900000000000001</v>
          </cell>
          <cell r="G53">
            <v>1.1200000000000001</v>
          </cell>
          <cell r="H53">
            <v>1.23</v>
          </cell>
          <cell r="I53">
            <v>1.29</v>
          </cell>
          <cell r="J53">
            <v>1.51</v>
          </cell>
          <cell r="K53">
            <v>1.61</v>
          </cell>
          <cell r="L53">
            <v>1.76</v>
          </cell>
          <cell r="M53">
            <v>1.92</v>
          </cell>
          <cell r="N53">
            <v>2.17</v>
          </cell>
          <cell r="O53">
            <v>2.44</v>
          </cell>
          <cell r="P53" t="e">
            <v>#N/A</v>
          </cell>
          <cell r="Q53">
            <v>2.44</v>
          </cell>
        </row>
        <row r="54">
          <cell r="A54" t="str">
            <v xml:space="preserve"> 5/28/48</v>
          </cell>
          <cell r="C54">
            <v>0.99</v>
          </cell>
          <cell r="D54">
            <v>0.99</v>
          </cell>
          <cell r="E54">
            <v>1.01</v>
          </cell>
          <cell r="F54">
            <v>1.08</v>
          </cell>
          <cell r="G54">
            <v>1.1200000000000001</v>
          </cell>
          <cell r="H54">
            <v>1.17</v>
          </cell>
          <cell r="I54">
            <v>1.2</v>
          </cell>
          <cell r="J54">
            <v>1.41</v>
          </cell>
          <cell r="K54">
            <v>1.51</v>
          </cell>
          <cell r="L54">
            <v>1.64</v>
          </cell>
          <cell r="M54">
            <v>1.78</v>
          </cell>
          <cell r="N54">
            <v>2.09</v>
          </cell>
          <cell r="O54">
            <v>2.44</v>
          </cell>
          <cell r="P54" t="e">
            <v>#N/A</v>
          </cell>
          <cell r="Q54">
            <v>2.35</v>
          </cell>
        </row>
        <row r="55">
          <cell r="A55" t="str">
            <v xml:space="preserve"> 6/30/48</v>
          </cell>
          <cell r="C55">
            <v>0.99</v>
          </cell>
          <cell r="D55">
            <v>0.98</v>
          </cell>
          <cell r="E55">
            <v>1.03</v>
          </cell>
          <cell r="F55">
            <v>1.08</v>
          </cell>
          <cell r="G55">
            <v>1.1000000000000001</v>
          </cell>
          <cell r="H55">
            <v>1.25</v>
          </cell>
          <cell r="I55">
            <v>1.32</v>
          </cell>
          <cell r="J55">
            <v>1.49</v>
          </cell>
          <cell r="K55">
            <v>1.58</v>
          </cell>
          <cell r="L55">
            <v>1.74</v>
          </cell>
          <cell r="M55">
            <v>1.92</v>
          </cell>
          <cell r="N55">
            <v>2.19</v>
          </cell>
          <cell r="O55">
            <v>2.46</v>
          </cell>
          <cell r="P55" t="e">
            <v>#N/A</v>
          </cell>
          <cell r="Q55">
            <v>2.42</v>
          </cell>
        </row>
        <row r="56">
          <cell r="A56" t="str">
            <v xml:space="preserve"> 7/30/48</v>
          </cell>
          <cell r="C56">
            <v>0.99</v>
          </cell>
          <cell r="D56">
            <v>0.99</v>
          </cell>
          <cell r="E56">
            <v>1.01</v>
          </cell>
          <cell r="F56">
            <v>1.0900000000000001</v>
          </cell>
          <cell r="G56">
            <v>1.1399999999999999</v>
          </cell>
          <cell r="H56">
            <v>1.25</v>
          </cell>
          <cell r="I56">
            <v>1.3</v>
          </cell>
          <cell r="J56">
            <v>1.55</v>
          </cell>
          <cell r="K56">
            <v>1.67</v>
          </cell>
          <cell r="L56">
            <v>1.82</v>
          </cell>
          <cell r="M56">
            <v>1.99</v>
          </cell>
          <cell r="N56">
            <v>2.21</v>
          </cell>
          <cell r="O56">
            <v>2.42</v>
          </cell>
          <cell r="P56" t="e">
            <v>#N/A</v>
          </cell>
          <cell r="Q56">
            <v>2.4500000000000002</v>
          </cell>
        </row>
        <row r="57">
          <cell r="A57" t="str">
            <v xml:space="preserve"> 8/31/48</v>
          </cell>
          <cell r="C57">
            <v>1.01</v>
          </cell>
          <cell r="D57">
            <v>0.94</v>
          </cell>
          <cell r="E57">
            <v>1.1299999999999999</v>
          </cell>
          <cell r="F57">
            <v>1.1599999999999999</v>
          </cell>
          <cell r="G57">
            <v>1.17</v>
          </cell>
          <cell r="H57">
            <v>1.27</v>
          </cell>
          <cell r="I57">
            <v>1.32</v>
          </cell>
          <cell r="J57">
            <v>1.59</v>
          </cell>
          <cell r="K57">
            <v>1.73</v>
          </cell>
          <cell r="L57">
            <v>1.87</v>
          </cell>
          <cell r="M57">
            <v>2.0299999999999998</v>
          </cell>
          <cell r="N57">
            <v>2.2200000000000002</v>
          </cell>
          <cell r="O57">
            <v>2.4</v>
          </cell>
          <cell r="P57" t="e">
            <v>#N/A</v>
          </cell>
          <cell r="Q57">
            <v>2.4700000000000002</v>
          </cell>
        </row>
        <row r="58">
          <cell r="A58" t="str">
            <v xml:space="preserve"> 9/30/48</v>
          </cell>
          <cell r="C58">
            <v>0.56999999999999995</v>
          </cell>
          <cell r="D58">
            <v>1.06</v>
          </cell>
          <cell r="E58">
            <v>1.1399999999999999</v>
          </cell>
          <cell r="F58">
            <v>1.21</v>
          </cell>
          <cell r="G58">
            <v>1.24</v>
          </cell>
          <cell r="H58">
            <v>1.35</v>
          </cell>
          <cell r="I58">
            <v>1.4</v>
          </cell>
          <cell r="J58">
            <v>1.62</v>
          </cell>
          <cell r="K58">
            <v>1.74</v>
          </cell>
          <cell r="L58">
            <v>1.89</v>
          </cell>
          <cell r="M58">
            <v>2.06</v>
          </cell>
          <cell r="N58">
            <v>2.19</v>
          </cell>
          <cell r="O58">
            <v>2.2799999999999998</v>
          </cell>
          <cell r="P58" t="e">
            <v>#N/A</v>
          </cell>
          <cell r="Q58">
            <v>2.4900000000000002</v>
          </cell>
        </row>
        <row r="59">
          <cell r="A59" t="str">
            <v>10/29/48</v>
          </cell>
          <cell r="C59">
            <v>1.06</v>
          </cell>
          <cell r="D59">
            <v>0.98</v>
          </cell>
          <cell r="E59">
            <v>1.1399999999999999</v>
          </cell>
          <cell r="F59">
            <v>1.23</v>
          </cell>
          <cell r="G59">
            <v>1.28</v>
          </cell>
          <cell r="H59">
            <v>1.39</v>
          </cell>
          <cell r="I59">
            <v>1.45</v>
          </cell>
          <cell r="J59">
            <v>1.65</v>
          </cell>
          <cell r="K59">
            <v>1.76</v>
          </cell>
          <cell r="L59">
            <v>1.91</v>
          </cell>
          <cell r="M59">
            <v>2.09</v>
          </cell>
          <cell r="N59">
            <v>2.2200000000000002</v>
          </cell>
          <cell r="O59">
            <v>2.3199999999999998</v>
          </cell>
          <cell r="P59" t="e">
            <v>#N/A</v>
          </cell>
          <cell r="Q59">
            <v>2.4900000000000002</v>
          </cell>
        </row>
        <row r="60">
          <cell r="A60" t="str">
            <v>11/30/48</v>
          </cell>
          <cell r="C60">
            <v>0.63</v>
          </cell>
          <cell r="D60">
            <v>1.08</v>
          </cell>
          <cell r="E60">
            <v>1.1100000000000001</v>
          </cell>
          <cell r="F60">
            <v>1.21</v>
          </cell>
          <cell r="G60">
            <v>1.25</v>
          </cell>
          <cell r="H60">
            <v>1.35</v>
          </cell>
          <cell r="I60">
            <v>1.4</v>
          </cell>
          <cell r="J60">
            <v>1.6</v>
          </cell>
          <cell r="K60">
            <v>1.71</v>
          </cell>
          <cell r="L60">
            <v>1.86</v>
          </cell>
          <cell r="M60">
            <v>2.04</v>
          </cell>
          <cell r="N60">
            <v>2.17</v>
          </cell>
          <cell r="O60">
            <v>2.27</v>
          </cell>
          <cell r="P60" t="e">
            <v>#N/A</v>
          </cell>
          <cell r="Q60">
            <v>2.46</v>
          </cell>
        </row>
        <row r="61">
          <cell r="A61" t="str">
            <v>12/31/48</v>
          </cell>
          <cell r="C61">
            <v>1.1100000000000001</v>
          </cell>
          <cell r="D61">
            <v>1.1200000000000001</v>
          </cell>
          <cell r="E61">
            <v>1.18</v>
          </cell>
          <cell r="F61">
            <v>1.21</v>
          </cell>
          <cell r="G61">
            <v>1.22</v>
          </cell>
          <cell r="H61">
            <v>1.34</v>
          </cell>
          <cell r="I61">
            <v>1.4</v>
          </cell>
          <cell r="J61">
            <v>1.55</v>
          </cell>
          <cell r="K61">
            <v>1.62</v>
          </cell>
          <cell r="L61">
            <v>1.79</v>
          </cell>
          <cell r="M61">
            <v>1.99</v>
          </cell>
          <cell r="N61">
            <v>2.14</v>
          </cell>
          <cell r="O61">
            <v>2.2599999999999998</v>
          </cell>
          <cell r="P61" t="e">
            <v>#N/A</v>
          </cell>
          <cell r="Q61">
            <v>2.4300000000000002</v>
          </cell>
        </row>
        <row r="62">
          <cell r="A62" t="str">
            <v xml:space="preserve"> 1/31/49</v>
          </cell>
          <cell r="C62">
            <v>1.1399999999999999</v>
          </cell>
          <cell r="D62">
            <v>1.1599999999999999</v>
          </cell>
          <cell r="E62">
            <v>1.19</v>
          </cell>
          <cell r="F62">
            <v>1.21</v>
          </cell>
          <cell r="G62">
            <v>1.23</v>
          </cell>
          <cell r="H62">
            <v>1.34</v>
          </cell>
          <cell r="I62">
            <v>1.4</v>
          </cell>
          <cell r="J62">
            <v>1.49</v>
          </cell>
          <cell r="K62">
            <v>1.54</v>
          </cell>
          <cell r="L62">
            <v>1.73</v>
          </cell>
          <cell r="M62">
            <v>1.94</v>
          </cell>
          <cell r="N62">
            <v>2.09</v>
          </cell>
          <cell r="O62">
            <v>2.2200000000000002</v>
          </cell>
          <cell r="P62" t="e">
            <v>#N/A</v>
          </cell>
          <cell r="Q62">
            <v>2.39</v>
          </cell>
        </row>
        <row r="63">
          <cell r="A63" t="str">
            <v xml:space="preserve"> 2/28/49</v>
          </cell>
          <cell r="C63">
            <v>1.1200000000000001</v>
          </cell>
          <cell r="D63">
            <v>1.1499999999999999</v>
          </cell>
          <cell r="E63">
            <v>1.19</v>
          </cell>
          <cell r="F63">
            <v>1.21</v>
          </cell>
          <cell r="G63">
            <v>1.22</v>
          </cell>
          <cell r="H63">
            <v>1.34</v>
          </cell>
          <cell r="I63">
            <v>1.4</v>
          </cell>
          <cell r="J63">
            <v>1.51</v>
          </cell>
          <cell r="K63">
            <v>1.56</v>
          </cell>
          <cell r="L63">
            <v>1.74</v>
          </cell>
          <cell r="M63">
            <v>1.93</v>
          </cell>
          <cell r="N63">
            <v>2.08</v>
          </cell>
          <cell r="O63">
            <v>2.2000000000000002</v>
          </cell>
          <cell r="P63" t="e">
            <v>#N/A</v>
          </cell>
          <cell r="Q63">
            <v>2.37</v>
          </cell>
        </row>
        <row r="64">
          <cell r="A64" t="str">
            <v xml:space="preserve"> 3/31/49</v>
          </cell>
          <cell r="C64">
            <v>1.1299999999999999</v>
          </cell>
          <cell r="D64">
            <v>1.17</v>
          </cell>
          <cell r="E64">
            <v>1.18</v>
          </cell>
          <cell r="F64">
            <v>1.21</v>
          </cell>
          <cell r="G64">
            <v>1.23</v>
          </cell>
          <cell r="H64">
            <v>1.36</v>
          </cell>
          <cell r="I64">
            <v>1.42</v>
          </cell>
          <cell r="J64">
            <v>1.46</v>
          </cell>
          <cell r="K64">
            <v>1.48</v>
          </cell>
          <cell r="L64">
            <v>1.67</v>
          </cell>
          <cell r="M64">
            <v>1.88</v>
          </cell>
          <cell r="N64">
            <v>2.04</v>
          </cell>
          <cell r="O64">
            <v>2.16</v>
          </cell>
          <cell r="P64" t="e">
            <v>#N/A</v>
          </cell>
          <cell r="Q64">
            <v>2.33</v>
          </cell>
        </row>
        <row r="65">
          <cell r="A65" t="str">
            <v xml:space="preserve"> 4/29/49</v>
          </cell>
          <cell r="C65">
            <v>1.1299999999999999</v>
          </cell>
          <cell r="D65">
            <v>1.1599999999999999</v>
          </cell>
          <cell r="E65">
            <v>1.17</v>
          </cell>
          <cell r="F65">
            <v>1.18</v>
          </cell>
          <cell r="G65">
            <v>1.18</v>
          </cell>
          <cell r="H65">
            <v>1.32</v>
          </cell>
          <cell r="I65">
            <v>1.39</v>
          </cell>
          <cell r="J65">
            <v>1.44</v>
          </cell>
          <cell r="K65">
            <v>1.47</v>
          </cell>
          <cell r="L65">
            <v>1.66</v>
          </cell>
          <cell r="M65">
            <v>1.87</v>
          </cell>
          <cell r="N65">
            <v>2.0299999999999998</v>
          </cell>
          <cell r="O65">
            <v>2.16</v>
          </cell>
          <cell r="P65" t="e">
            <v>#N/A</v>
          </cell>
          <cell r="Q65">
            <v>2.34</v>
          </cell>
        </row>
        <row r="66">
          <cell r="A66" t="str">
            <v xml:space="preserve"> 5/31/49</v>
          </cell>
          <cell r="C66">
            <v>1.1200000000000001</v>
          </cell>
          <cell r="D66">
            <v>1.1499999999999999</v>
          </cell>
          <cell r="E66">
            <v>1.17</v>
          </cell>
          <cell r="F66">
            <v>1.19</v>
          </cell>
          <cell r="G66">
            <v>1.2</v>
          </cell>
          <cell r="H66">
            <v>1.33</v>
          </cell>
          <cell r="I66">
            <v>1.4</v>
          </cell>
          <cell r="J66">
            <v>1.4</v>
          </cell>
          <cell r="K66">
            <v>1.41</v>
          </cell>
          <cell r="L66">
            <v>1.61</v>
          </cell>
          <cell r="M66">
            <v>1.85</v>
          </cell>
          <cell r="N66">
            <v>2.0299999999999998</v>
          </cell>
          <cell r="O66">
            <v>2.16</v>
          </cell>
          <cell r="P66" t="e">
            <v>#N/A</v>
          </cell>
          <cell r="Q66">
            <v>2.34</v>
          </cell>
        </row>
        <row r="67">
          <cell r="A67" t="str">
            <v xml:space="preserve"> 6/30/49</v>
          </cell>
          <cell r="C67">
            <v>1.06</v>
          </cell>
          <cell r="D67">
            <v>1.08</v>
          </cell>
          <cell r="E67">
            <v>1.1000000000000001</v>
          </cell>
          <cell r="F67">
            <v>1.1100000000000001</v>
          </cell>
          <cell r="G67">
            <v>1.1100000000000001</v>
          </cell>
          <cell r="H67">
            <v>1.26</v>
          </cell>
          <cell r="I67">
            <v>1.33</v>
          </cell>
          <cell r="J67">
            <v>1.25</v>
          </cell>
          <cell r="K67">
            <v>1.2</v>
          </cell>
          <cell r="L67">
            <v>1.45</v>
          </cell>
          <cell r="M67">
            <v>1.73</v>
          </cell>
          <cell r="N67">
            <v>1.94</v>
          </cell>
          <cell r="O67">
            <v>2.11</v>
          </cell>
          <cell r="P67" t="e">
            <v>#N/A</v>
          </cell>
          <cell r="Q67">
            <v>2.2400000000000002</v>
          </cell>
        </row>
        <row r="68">
          <cell r="A68" t="str">
            <v xml:space="preserve"> 7/29/49</v>
          </cell>
          <cell r="C68">
            <v>1</v>
          </cell>
          <cell r="D68">
            <v>1.01</v>
          </cell>
          <cell r="E68">
            <v>1.03</v>
          </cell>
          <cell r="F68">
            <v>1.03</v>
          </cell>
          <cell r="G68">
            <v>1.03</v>
          </cell>
          <cell r="H68">
            <v>1.19</v>
          </cell>
          <cell r="I68">
            <v>1.27</v>
          </cell>
          <cell r="J68">
            <v>1.19</v>
          </cell>
          <cell r="K68">
            <v>1.1499999999999999</v>
          </cell>
          <cell r="L68">
            <v>1.41</v>
          </cell>
          <cell r="M68">
            <v>1.7</v>
          </cell>
          <cell r="N68">
            <v>1.92</v>
          </cell>
          <cell r="O68">
            <v>2.09</v>
          </cell>
          <cell r="P68" t="e">
            <v>#N/A</v>
          </cell>
          <cell r="Q68">
            <v>2.23</v>
          </cell>
        </row>
        <row r="69">
          <cell r="A69" t="str">
            <v xml:space="preserve"> 8/31/49</v>
          </cell>
          <cell r="C69">
            <v>1.02</v>
          </cell>
          <cell r="D69">
            <v>1.03</v>
          </cell>
          <cell r="E69">
            <v>1.05</v>
          </cell>
          <cell r="F69">
            <v>1.04</v>
          </cell>
          <cell r="G69">
            <v>1.04</v>
          </cell>
          <cell r="H69">
            <v>1.1599999999999999</v>
          </cell>
          <cell r="I69">
            <v>1.23</v>
          </cell>
          <cell r="J69">
            <v>1.1599999999999999</v>
          </cell>
          <cell r="K69">
            <v>1.1299999999999999</v>
          </cell>
          <cell r="L69">
            <v>1.37</v>
          </cell>
          <cell r="M69">
            <v>1.64</v>
          </cell>
          <cell r="N69">
            <v>1.84</v>
          </cell>
          <cell r="O69">
            <v>2</v>
          </cell>
          <cell r="P69" t="e">
            <v>#N/A</v>
          </cell>
          <cell r="Q69">
            <v>2.17</v>
          </cell>
        </row>
        <row r="70">
          <cell r="A70" t="str">
            <v xml:space="preserve"> 9/30/49</v>
          </cell>
          <cell r="C70">
            <v>1.04</v>
          </cell>
          <cell r="D70">
            <v>1.05</v>
          </cell>
          <cell r="E70">
            <v>1.08</v>
          </cell>
          <cell r="F70">
            <v>1.07</v>
          </cell>
          <cell r="G70">
            <v>1.07</v>
          </cell>
          <cell r="H70">
            <v>1.19</v>
          </cell>
          <cell r="I70">
            <v>1.25</v>
          </cell>
          <cell r="J70">
            <v>1.1599999999999999</v>
          </cell>
          <cell r="K70">
            <v>1.1100000000000001</v>
          </cell>
          <cell r="L70">
            <v>1.37</v>
          </cell>
          <cell r="M70">
            <v>1.66</v>
          </cell>
          <cell r="N70">
            <v>1.88</v>
          </cell>
          <cell r="O70">
            <v>2.0499999999999998</v>
          </cell>
          <cell r="P70" t="e">
            <v>#N/A</v>
          </cell>
          <cell r="Q70">
            <v>2.1800000000000002</v>
          </cell>
        </row>
        <row r="71">
          <cell r="A71" t="str">
            <v>10/31/49</v>
          </cell>
          <cell r="C71">
            <v>1.02</v>
          </cell>
          <cell r="D71">
            <v>1.06</v>
          </cell>
          <cell r="E71">
            <v>1.0900000000000001</v>
          </cell>
          <cell r="F71">
            <v>1.08</v>
          </cell>
          <cell r="G71">
            <v>1.07</v>
          </cell>
          <cell r="H71">
            <v>1.2</v>
          </cell>
          <cell r="I71">
            <v>1.27</v>
          </cell>
          <cell r="J71">
            <v>1.1499999999999999</v>
          </cell>
          <cell r="K71">
            <v>1.1000000000000001</v>
          </cell>
          <cell r="L71">
            <v>1.36</v>
          </cell>
          <cell r="M71">
            <v>1.66</v>
          </cell>
          <cell r="N71">
            <v>1.88</v>
          </cell>
          <cell r="O71">
            <v>2.06</v>
          </cell>
          <cell r="P71" t="e">
            <v>#N/A</v>
          </cell>
          <cell r="Q71">
            <v>2.1800000000000002</v>
          </cell>
        </row>
        <row r="72">
          <cell r="A72" t="str">
            <v>11/30/49</v>
          </cell>
          <cell r="C72">
            <v>1.04</v>
          </cell>
          <cell r="D72">
            <v>1.1000000000000001</v>
          </cell>
          <cell r="E72">
            <v>1.1100000000000001</v>
          </cell>
          <cell r="F72">
            <v>1.0900000000000001</v>
          </cell>
          <cell r="G72">
            <v>1.08</v>
          </cell>
          <cell r="H72">
            <v>1.23</v>
          </cell>
          <cell r="I72">
            <v>1.3</v>
          </cell>
          <cell r="J72">
            <v>1.1499999999999999</v>
          </cell>
          <cell r="K72">
            <v>1.07</v>
          </cell>
          <cell r="L72">
            <v>1.34</v>
          </cell>
          <cell r="M72">
            <v>1.65</v>
          </cell>
          <cell r="N72">
            <v>1.88</v>
          </cell>
          <cell r="O72">
            <v>2.06</v>
          </cell>
          <cell r="P72" t="e">
            <v>#N/A</v>
          </cell>
          <cell r="Q72">
            <v>2.1800000000000002</v>
          </cell>
        </row>
        <row r="73">
          <cell r="A73" t="str">
            <v>12/30/49</v>
          </cell>
          <cell r="C73">
            <v>1.05</v>
          </cell>
          <cell r="D73">
            <v>1.08</v>
          </cell>
          <cell r="E73">
            <v>1.1000000000000001</v>
          </cell>
          <cell r="F73">
            <v>1.0900000000000001</v>
          </cell>
          <cell r="G73">
            <v>1.08</v>
          </cell>
          <cell r="H73">
            <v>1.19</v>
          </cell>
          <cell r="I73">
            <v>1.24</v>
          </cell>
          <cell r="J73">
            <v>1.21</v>
          </cell>
          <cell r="K73">
            <v>1.2</v>
          </cell>
          <cell r="L73">
            <v>1.41</v>
          </cell>
          <cell r="M73">
            <v>1.65</v>
          </cell>
          <cell r="N73">
            <v>1.83</v>
          </cell>
          <cell r="O73">
            <v>1.97</v>
          </cell>
          <cell r="P73" t="e">
            <v>#N/A</v>
          </cell>
          <cell r="Q73">
            <v>2.16</v>
          </cell>
        </row>
        <row r="74">
          <cell r="A74" t="str">
            <v xml:space="preserve"> 1/31/50</v>
          </cell>
          <cell r="C74">
            <v>1.1000000000000001</v>
          </cell>
          <cell r="D74">
            <v>1.1200000000000001</v>
          </cell>
          <cell r="E74">
            <v>1.1100000000000001</v>
          </cell>
          <cell r="F74">
            <v>1.1100000000000001</v>
          </cell>
          <cell r="G74">
            <v>1.1000000000000001</v>
          </cell>
          <cell r="H74">
            <v>1.23</v>
          </cell>
          <cell r="I74">
            <v>1.3</v>
          </cell>
          <cell r="J74">
            <v>1.28</v>
          </cell>
          <cell r="K74">
            <v>1.27</v>
          </cell>
          <cell r="L74">
            <v>1.48</v>
          </cell>
          <cell r="M74">
            <v>1.73</v>
          </cell>
          <cell r="N74">
            <v>1.92</v>
          </cell>
          <cell r="O74">
            <v>2.0699999999999998</v>
          </cell>
          <cell r="P74" t="e">
            <v>#N/A</v>
          </cell>
          <cell r="Q74">
            <v>2.21</v>
          </cell>
        </row>
        <row r="75">
          <cell r="A75" t="str">
            <v xml:space="preserve"> 2/28/50</v>
          </cell>
          <cell r="C75">
            <v>1.1299999999999999</v>
          </cell>
          <cell r="D75">
            <v>1.1399999999999999</v>
          </cell>
          <cell r="E75">
            <v>1.1200000000000001</v>
          </cell>
          <cell r="F75">
            <v>1.1399999999999999</v>
          </cell>
          <cell r="G75">
            <v>1.1499999999999999</v>
          </cell>
          <cell r="H75">
            <v>1.25</v>
          </cell>
          <cell r="I75">
            <v>1.31</v>
          </cell>
          <cell r="J75">
            <v>1.29</v>
          </cell>
          <cell r="K75">
            <v>1.29</v>
          </cell>
          <cell r="L75">
            <v>1.51</v>
          </cell>
          <cell r="M75">
            <v>1.76</v>
          </cell>
          <cell r="N75">
            <v>1.94</v>
          </cell>
          <cell r="O75">
            <v>2.09</v>
          </cell>
          <cell r="P75" t="e">
            <v>#N/A</v>
          </cell>
          <cell r="Q75">
            <v>2.2000000000000002</v>
          </cell>
        </row>
        <row r="76">
          <cell r="A76" t="str">
            <v xml:space="preserve"> 3/31/50</v>
          </cell>
          <cell r="C76">
            <v>1.1200000000000001</v>
          </cell>
          <cell r="D76">
            <v>1.1499999999999999</v>
          </cell>
          <cell r="E76">
            <v>1.1499999999999999</v>
          </cell>
          <cell r="F76">
            <v>1.1299999999999999</v>
          </cell>
          <cell r="G76">
            <v>1.1200000000000001</v>
          </cell>
          <cell r="H76">
            <v>1.28</v>
          </cell>
          <cell r="I76">
            <v>1.36</v>
          </cell>
          <cell r="J76">
            <v>1.32</v>
          </cell>
          <cell r="K76">
            <v>1.29</v>
          </cell>
          <cell r="L76">
            <v>1.52</v>
          </cell>
          <cell r="M76">
            <v>1.77</v>
          </cell>
          <cell r="N76">
            <v>1.97</v>
          </cell>
          <cell r="O76">
            <v>2.12</v>
          </cell>
          <cell r="P76" t="e">
            <v>#N/A</v>
          </cell>
          <cell r="Q76">
            <v>2.2000000000000002</v>
          </cell>
        </row>
        <row r="77">
          <cell r="A77" t="str">
            <v xml:space="preserve"> 4/28/50</v>
          </cell>
          <cell r="C77">
            <v>1.1499999999999999</v>
          </cell>
          <cell r="D77">
            <v>1.17</v>
          </cell>
          <cell r="E77">
            <v>1.18</v>
          </cell>
          <cell r="F77">
            <v>1.1499999999999999</v>
          </cell>
          <cell r="G77">
            <v>1.1399999999999999</v>
          </cell>
          <cell r="H77">
            <v>1.31</v>
          </cell>
          <cell r="I77">
            <v>1.39</v>
          </cell>
          <cell r="J77">
            <v>1.35</v>
          </cell>
          <cell r="K77">
            <v>1.32</v>
          </cell>
          <cell r="L77">
            <v>1.55</v>
          </cell>
          <cell r="M77">
            <v>1.82</v>
          </cell>
          <cell r="N77">
            <v>2.02</v>
          </cell>
          <cell r="O77">
            <v>2.17</v>
          </cell>
          <cell r="P77" t="e">
            <v>#N/A</v>
          </cell>
          <cell r="Q77">
            <v>2.1800000000000002</v>
          </cell>
        </row>
        <row r="78">
          <cell r="A78" t="str">
            <v xml:space="preserve"> 5/31/50</v>
          </cell>
          <cell r="C78">
            <v>1.1599999999999999</v>
          </cell>
          <cell r="D78">
            <v>1.1599999999999999</v>
          </cell>
          <cell r="E78">
            <v>1.17</v>
          </cell>
          <cell r="F78">
            <v>1.19</v>
          </cell>
          <cell r="G78">
            <v>1.2</v>
          </cell>
          <cell r="H78">
            <v>1.3</v>
          </cell>
          <cell r="I78">
            <v>1.35</v>
          </cell>
          <cell r="J78">
            <v>1.32</v>
          </cell>
          <cell r="K78">
            <v>1.3</v>
          </cell>
          <cell r="L78">
            <v>1.54</v>
          </cell>
          <cell r="M78">
            <v>1.82</v>
          </cell>
          <cell r="N78">
            <v>2.0299999999999998</v>
          </cell>
          <cell r="O78">
            <v>2.19</v>
          </cell>
          <cell r="P78" t="e">
            <v>#N/A</v>
          </cell>
          <cell r="Q78">
            <v>2.17</v>
          </cell>
        </row>
        <row r="79">
          <cell r="A79" t="str">
            <v xml:space="preserve"> 6/30/50</v>
          </cell>
          <cell r="C79">
            <v>1.1599999999999999</v>
          </cell>
          <cell r="D79">
            <v>1.1399999999999999</v>
          </cell>
          <cell r="E79">
            <v>1.19</v>
          </cell>
          <cell r="F79">
            <v>1.2</v>
          </cell>
          <cell r="G79">
            <v>1.21</v>
          </cell>
          <cell r="H79">
            <v>1.33</v>
          </cell>
          <cell r="I79">
            <v>1.38</v>
          </cell>
          <cell r="J79">
            <v>1.35</v>
          </cell>
          <cell r="K79">
            <v>1.33</v>
          </cell>
          <cell r="L79">
            <v>1.58</v>
          </cell>
          <cell r="M79">
            <v>1.87</v>
          </cell>
          <cell r="N79">
            <v>2.09</v>
          </cell>
          <cell r="O79">
            <v>2.2599999999999998</v>
          </cell>
          <cell r="P79" t="e">
            <v>#N/A</v>
          </cell>
          <cell r="Q79">
            <v>2.19</v>
          </cell>
        </row>
        <row r="80">
          <cell r="A80" t="str">
            <v xml:space="preserve"> 7/31/50</v>
          </cell>
          <cell r="C80">
            <v>1.1499999999999999</v>
          </cell>
          <cell r="D80">
            <v>1.17</v>
          </cell>
          <cell r="E80">
            <v>1.17</v>
          </cell>
          <cell r="F80">
            <v>1.21</v>
          </cell>
          <cell r="G80">
            <v>1.23</v>
          </cell>
          <cell r="H80">
            <v>1.32</v>
          </cell>
          <cell r="I80">
            <v>1.36</v>
          </cell>
          <cell r="J80">
            <v>1.3</v>
          </cell>
          <cell r="K80">
            <v>1.27</v>
          </cell>
          <cell r="L80">
            <v>1.54</v>
          </cell>
          <cell r="M80">
            <v>1.86</v>
          </cell>
          <cell r="N80">
            <v>2.09</v>
          </cell>
          <cell r="O80">
            <v>2.27</v>
          </cell>
          <cell r="P80" t="e">
            <v>#N/A</v>
          </cell>
          <cell r="Q80">
            <v>2.16</v>
          </cell>
        </row>
        <row r="81">
          <cell r="A81" t="str">
            <v xml:space="preserve"> 8/31/50</v>
          </cell>
          <cell r="C81">
            <v>1.28</v>
          </cell>
          <cell r="D81">
            <v>1.3</v>
          </cell>
          <cell r="E81">
            <v>1.28</v>
          </cell>
          <cell r="F81">
            <v>1.31</v>
          </cell>
          <cell r="G81">
            <v>1.33</v>
          </cell>
          <cell r="H81">
            <v>1.43</v>
          </cell>
          <cell r="I81">
            <v>1.48</v>
          </cell>
          <cell r="J81">
            <v>1.36</v>
          </cell>
          <cell r="K81">
            <v>1.3</v>
          </cell>
          <cell r="L81">
            <v>1.56</v>
          </cell>
          <cell r="M81">
            <v>1.86</v>
          </cell>
          <cell r="N81">
            <v>2.09</v>
          </cell>
          <cell r="O81">
            <v>2.27</v>
          </cell>
          <cell r="P81" t="e">
            <v>#N/A</v>
          </cell>
          <cell r="Q81">
            <v>2.16</v>
          </cell>
        </row>
        <row r="82">
          <cell r="A82" t="str">
            <v xml:space="preserve"> 9/29/50</v>
          </cell>
          <cell r="C82">
            <v>1.31</v>
          </cell>
          <cell r="D82">
            <v>1.33</v>
          </cell>
          <cell r="E82">
            <v>1.34</v>
          </cell>
          <cell r="F82">
            <v>1.35</v>
          </cell>
          <cell r="G82">
            <v>1.35</v>
          </cell>
          <cell r="H82">
            <v>1.5</v>
          </cell>
          <cell r="I82">
            <v>1.58</v>
          </cell>
          <cell r="J82">
            <v>1.47</v>
          </cell>
          <cell r="K82">
            <v>1.42</v>
          </cell>
          <cell r="L82">
            <v>1.66</v>
          </cell>
          <cell r="M82">
            <v>1.93</v>
          </cell>
          <cell r="N82">
            <v>2.13</v>
          </cell>
          <cell r="O82">
            <v>2.29</v>
          </cell>
          <cell r="P82" t="e">
            <v>#N/A</v>
          </cell>
          <cell r="Q82">
            <v>2.23</v>
          </cell>
        </row>
        <row r="83">
          <cell r="A83" t="str">
            <v>10/31/50</v>
          </cell>
          <cell r="C83">
            <v>1.28</v>
          </cell>
          <cell r="D83">
            <v>1.36</v>
          </cell>
          <cell r="E83">
            <v>1.41</v>
          </cell>
          <cell r="F83">
            <v>1.47</v>
          </cell>
          <cell r="G83">
            <v>1.5</v>
          </cell>
          <cell r="H83">
            <v>1.61</v>
          </cell>
          <cell r="I83">
            <v>1.67</v>
          </cell>
          <cell r="J83">
            <v>1.58</v>
          </cell>
          <cell r="K83">
            <v>1.53</v>
          </cell>
          <cell r="L83">
            <v>1.75</v>
          </cell>
          <cell r="M83">
            <v>2</v>
          </cell>
          <cell r="N83">
            <v>2.1800000000000002</v>
          </cell>
          <cell r="O83">
            <v>2.33</v>
          </cell>
          <cell r="P83" t="e">
            <v>#N/A</v>
          </cell>
          <cell r="Q83">
            <v>2.2799999999999998</v>
          </cell>
        </row>
        <row r="84">
          <cell r="A84" t="str">
            <v>11/30/50</v>
          </cell>
          <cell r="C84">
            <v>1.35</v>
          </cell>
          <cell r="D84">
            <v>1.4</v>
          </cell>
          <cell r="E84">
            <v>1.43</v>
          </cell>
          <cell r="F84">
            <v>1.48</v>
          </cell>
          <cell r="G84">
            <v>1.5</v>
          </cell>
          <cell r="H84">
            <v>1.58</v>
          </cell>
          <cell r="I84">
            <v>1.62</v>
          </cell>
          <cell r="J84">
            <v>1.56</v>
          </cell>
          <cell r="K84">
            <v>1.53</v>
          </cell>
          <cell r="L84">
            <v>1.76</v>
          </cell>
          <cell r="M84">
            <v>2.02</v>
          </cell>
          <cell r="N84">
            <v>2.2200000000000002</v>
          </cell>
          <cell r="O84">
            <v>2.37</v>
          </cell>
          <cell r="P84" t="e">
            <v>#N/A</v>
          </cell>
          <cell r="Q84">
            <v>2.2599999999999998</v>
          </cell>
        </row>
        <row r="85">
          <cell r="A85" t="str">
            <v>12/29/50</v>
          </cell>
          <cell r="C85">
            <v>1.34</v>
          </cell>
          <cell r="D85">
            <v>1.31</v>
          </cell>
          <cell r="E85">
            <v>1.47</v>
          </cell>
          <cell r="F85">
            <v>1.53</v>
          </cell>
          <cell r="G85">
            <v>1.56</v>
          </cell>
          <cell r="H85">
            <v>1.57</v>
          </cell>
          <cell r="I85">
            <v>1.58</v>
          </cell>
          <cell r="J85">
            <v>1.59</v>
          </cell>
          <cell r="K85">
            <v>1.59</v>
          </cell>
          <cell r="L85">
            <v>1.8</v>
          </cell>
          <cell r="M85">
            <v>2.0299999999999998</v>
          </cell>
          <cell r="N85">
            <v>2.21</v>
          </cell>
          <cell r="O85">
            <v>2.35</v>
          </cell>
          <cell r="P85" t="e">
            <v>#N/A</v>
          </cell>
          <cell r="Q85">
            <v>2.2599999999999998</v>
          </cell>
        </row>
        <row r="86">
          <cell r="A86" t="str">
            <v xml:space="preserve"> 1/31/51</v>
          </cell>
          <cell r="C86">
            <v>1.34</v>
          </cell>
          <cell r="D86">
            <v>1.38</v>
          </cell>
          <cell r="E86">
            <v>1.44</v>
          </cell>
          <cell r="F86">
            <v>1.55</v>
          </cell>
          <cell r="G86">
            <v>1.6</v>
          </cell>
          <cell r="H86">
            <v>1.62</v>
          </cell>
          <cell r="I86">
            <v>1.62</v>
          </cell>
          <cell r="J86">
            <v>1.63</v>
          </cell>
          <cell r="K86">
            <v>1.64</v>
          </cell>
          <cell r="L86">
            <v>1.81</v>
          </cell>
          <cell r="M86">
            <v>2</v>
          </cell>
          <cell r="N86">
            <v>2.15</v>
          </cell>
          <cell r="O86">
            <v>2.27</v>
          </cell>
          <cell r="P86" t="e">
            <v>#N/A</v>
          </cell>
          <cell r="Q86">
            <v>2.2400000000000002</v>
          </cell>
        </row>
        <row r="87">
          <cell r="A87" t="str">
            <v xml:space="preserve"> 2/28/51</v>
          </cell>
          <cell r="C87">
            <v>1.31</v>
          </cell>
          <cell r="D87">
            <v>1.41</v>
          </cell>
          <cell r="E87">
            <v>1.43</v>
          </cell>
          <cell r="F87">
            <v>1.56</v>
          </cell>
          <cell r="G87">
            <v>1.62</v>
          </cell>
          <cell r="H87">
            <v>1.64</v>
          </cell>
          <cell r="I87">
            <v>1.64</v>
          </cell>
          <cell r="J87">
            <v>1.65</v>
          </cell>
          <cell r="K87">
            <v>1.65</v>
          </cell>
          <cell r="L87">
            <v>1.84</v>
          </cell>
          <cell r="M87">
            <v>2.06</v>
          </cell>
          <cell r="N87">
            <v>2.2200000000000002</v>
          </cell>
          <cell r="O87">
            <v>2.35</v>
          </cell>
          <cell r="P87" t="e">
            <v>#N/A</v>
          </cell>
          <cell r="Q87">
            <v>2.31</v>
          </cell>
        </row>
        <row r="88">
          <cell r="A88" t="str">
            <v xml:space="preserve"> 3/30/51</v>
          </cell>
          <cell r="C88">
            <v>1.49</v>
          </cell>
          <cell r="D88">
            <v>1.52</v>
          </cell>
          <cell r="E88">
            <v>1.48</v>
          </cell>
          <cell r="F88">
            <v>1.8</v>
          </cell>
          <cell r="G88">
            <v>1.96</v>
          </cell>
          <cell r="H88">
            <v>2.02</v>
          </cell>
          <cell r="I88">
            <v>2.0499999999999998</v>
          </cell>
          <cell r="J88">
            <v>2.0099999999999998</v>
          </cell>
          <cell r="K88">
            <v>1.99</v>
          </cell>
          <cell r="L88">
            <v>2.11</v>
          </cell>
          <cell r="M88">
            <v>2.25</v>
          </cell>
          <cell r="N88">
            <v>2.36</v>
          </cell>
          <cell r="O88">
            <v>2.44</v>
          </cell>
          <cell r="P88" t="e">
            <v>#N/A</v>
          </cell>
          <cell r="Q88">
            <v>2.44</v>
          </cell>
        </row>
        <row r="89">
          <cell r="A89" t="str">
            <v xml:space="preserve"> 4/30/51</v>
          </cell>
          <cell r="C89">
            <v>1.37</v>
          </cell>
          <cell r="D89">
            <v>1.34</v>
          </cell>
          <cell r="E89">
            <v>1.62</v>
          </cell>
          <cell r="F89">
            <v>1.71</v>
          </cell>
          <cell r="G89">
            <v>1.76</v>
          </cell>
          <cell r="H89">
            <v>1.99</v>
          </cell>
          <cell r="I89">
            <v>2.11</v>
          </cell>
          <cell r="J89">
            <v>1.97</v>
          </cell>
          <cell r="K89">
            <v>1.91</v>
          </cell>
          <cell r="L89">
            <v>2.09</v>
          </cell>
          <cell r="M89">
            <v>2.31</v>
          </cell>
          <cell r="N89">
            <v>2.4700000000000002</v>
          </cell>
          <cell r="O89">
            <v>2.6</v>
          </cell>
          <cell r="P89" t="e">
            <v>#N/A</v>
          </cell>
          <cell r="Q89">
            <v>2.4900000000000002</v>
          </cell>
        </row>
        <row r="90">
          <cell r="A90" t="str">
            <v xml:space="preserve"> 5/31/51</v>
          </cell>
          <cell r="C90">
            <v>1.42</v>
          </cell>
          <cell r="D90">
            <v>1.53</v>
          </cell>
          <cell r="E90">
            <v>1.64</v>
          </cell>
          <cell r="F90">
            <v>1.86</v>
          </cell>
          <cell r="G90">
            <v>1.97</v>
          </cell>
          <cell r="H90">
            <v>2.0699999999999998</v>
          </cell>
          <cell r="I90">
            <v>2.13</v>
          </cell>
          <cell r="J90">
            <v>2.0099999999999998</v>
          </cell>
          <cell r="K90">
            <v>1.95</v>
          </cell>
          <cell r="L90">
            <v>2.15</v>
          </cell>
          <cell r="M90">
            <v>2.39</v>
          </cell>
          <cell r="N90">
            <v>2.56</v>
          </cell>
          <cell r="O90">
            <v>2.7</v>
          </cell>
          <cell r="P90">
            <v>2.57</v>
          </cell>
          <cell r="Q90">
            <v>2.54</v>
          </cell>
        </row>
        <row r="91">
          <cell r="A91" t="str">
            <v xml:space="preserve"> 6/29/51</v>
          </cell>
          <cell r="C91">
            <v>1.49</v>
          </cell>
          <cell r="D91">
            <v>1.5</v>
          </cell>
          <cell r="E91">
            <v>1.37</v>
          </cell>
          <cell r="F91">
            <v>1.67</v>
          </cell>
          <cell r="G91">
            <v>1.83</v>
          </cell>
          <cell r="H91">
            <v>1.99</v>
          </cell>
          <cell r="I91">
            <v>2.08</v>
          </cell>
          <cell r="J91">
            <v>1.97</v>
          </cell>
          <cell r="K91">
            <v>1.92</v>
          </cell>
          <cell r="L91">
            <v>2.14</v>
          </cell>
          <cell r="M91">
            <v>2.39</v>
          </cell>
          <cell r="N91">
            <v>2.57</v>
          </cell>
          <cell r="O91">
            <v>2.72</v>
          </cell>
          <cell r="P91">
            <v>2.63</v>
          </cell>
          <cell r="Q91">
            <v>2.6</v>
          </cell>
        </row>
        <row r="92">
          <cell r="A92" t="str">
            <v xml:space="preserve"> 7/31/51</v>
          </cell>
          <cell r="C92">
            <v>1.53</v>
          </cell>
          <cell r="D92">
            <v>1.51</v>
          </cell>
          <cell r="E92">
            <v>1.44</v>
          </cell>
          <cell r="F92">
            <v>1.67</v>
          </cell>
          <cell r="G92">
            <v>1.79</v>
          </cell>
          <cell r="H92">
            <v>1.91</v>
          </cell>
          <cell r="I92">
            <v>1.97</v>
          </cell>
          <cell r="J92">
            <v>1.89</v>
          </cell>
          <cell r="K92">
            <v>1.86</v>
          </cell>
          <cell r="L92">
            <v>2.06</v>
          </cell>
          <cell r="M92">
            <v>2.29</v>
          </cell>
          <cell r="N92">
            <v>2.4700000000000002</v>
          </cell>
          <cell r="O92">
            <v>2.61</v>
          </cell>
          <cell r="P92">
            <v>2.5499999999999998</v>
          </cell>
          <cell r="Q92">
            <v>2.5299999999999998</v>
          </cell>
        </row>
        <row r="93">
          <cell r="A93" t="str">
            <v xml:space="preserve"> 8/31/51</v>
          </cell>
          <cell r="C93">
            <v>1.57</v>
          </cell>
          <cell r="D93">
            <v>1.63</v>
          </cell>
          <cell r="E93">
            <v>1.72</v>
          </cell>
          <cell r="F93">
            <v>1.76</v>
          </cell>
          <cell r="G93">
            <v>1.77</v>
          </cell>
          <cell r="H93">
            <v>1.79</v>
          </cell>
          <cell r="I93">
            <v>1.8</v>
          </cell>
          <cell r="J93">
            <v>1.81</v>
          </cell>
          <cell r="K93">
            <v>1.82</v>
          </cell>
          <cell r="L93">
            <v>2</v>
          </cell>
          <cell r="M93">
            <v>2.2000000000000002</v>
          </cell>
          <cell r="N93">
            <v>2.36</v>
          </cell>
          <cell r="O93">
            <v>2.48</v>
          </cell>
          <cell r="P93" t="e">
            <v>#N/A</v>
          </cell>
          <cell r="Q93">
            <v>2.5</v>
          </cell>
        </row>
        <row r="94">
          <cell r="A94" t="str">
            <v xml:space="preserve"> 9/28/51</v>
          </cell>
          <cell r="C94">
            <v>1.62</v>
          </cell>
          <cell r="D94">
            <v>1.59</v>
          </cell>
          <cell r="E94">
            <v>1.76</v>
          </cell>
          <cell r="F94">
            <v>1.82</v>
          </cell>
          <cell r="G94">
            <v>1.85</v>
          </cell>
          <cell r="H94">
            <v>1.88</v>
          </cell>
          <cell r="I94">
            <v>1.9</v>
          </cell>
          <cell r="J94">
            <v>1.98</v>
          </cell>
          <cell r="K94">
            <v>2.02</v>
          </cell>
          <cell r="L94">
            <v>2.1800000000000002</v>
          </cell>
          <cell r="M94">
            <v>2.36</v>
          </cell>
          <cell r="N94">
            <v>2.5</v>
          </cell>
          <cell r="O94">
            <v>2.61</v>
          </cell>
          <cell r="P94">
            <v>2.56</v>
          </cell>
          <cell r="Q94">
            <v>2.54</v>
          </cell>
        </row>
        <row r="95">
          <cell r="A95" t="str">
            <v>10/31/51</v>
          </cell>
          <cell r="C95">
            <v>1.36</v>
          </cell>
          <cell r="D95">
            <v>1.61</v>
          </cell>
          <cell r="E95">
            <v>1.52</v>
          </cell>
          <cell r="F95">
            <v>1.71</v>
          </cell>
          <cell r="G95">
            <v>1.81</v>
          </cell>
          <cell r="H95">
            <v>1.9</v>
          </cell>
          <cell r="I95">
            <v>1.95</v>
          </cell>
          <cell r="J95">
            <v>1.97</v>
          </cell>
          <cell r="K95">
            <v>1.98</v>
          </cell>
          <cell r="L95">
            <v>2.16</v>
          </cell>
          <cell r="M95">
            <v>2.37</v>
          </cell>
          <cell r="N95">
            <v>2.5299999999999998</v>
          </cell>
          <cell r="O95">
            <v>2.65</v>
          </cell>
          <cell r="P95">
            <v>2.56</v>
          </cell>
          <cell r="Q95">
            <v>2.5499999999999998</v>
          </cell>
        </row>
        <row r="96">
          <cell r="A96" t="str">
            <v>11/30/51</v>
          </cell>
          <cell r="C96">
            <v>1.39</v>
          </cell>
          <cell r="D96">
            <v>1.64</v>
          </cell>
          <cell r="E96">
            <v>1.48</v>
          </cell>
          <cell r="F96">
            <v>1.71</v>
          </cell>
          <cell r="G96">
            <v>1.83</v>
          </cell>
          <cell r="H96">
            <v>1.95</v>
          </cell>
          <cell r="I96">
            <v>2</v>
          </cell>
          <cell r="J96">
            <v>2</v>
          </cell>
          <cell r="K96">
            <v>2</v>
          </cell>
          <cell r="L96">
            <v>2.19</v>
          </cell>
          <cell r="M96">
            <v>2.41</v>
          </cell>
          <cell r="N96">
            <v>2.58</v>
          </cell>
          <cell r="O96">
            <v>2.7</v>
          </cell>
          <cell r="P96">
            <v>2.67</v>
          </cell>
          <cell r="Q96">
            <v>2.67</v>
          </cell>
        </row>
        <row r="97">
          <cell r="A97" t="str">
            <v>12/31/51</v>
          </cell>
          <cell r="C97">
            <v>1.71</v>
          </cell>
          <cell r="D97">
            <v>1.77</v>
          </cell>
          <cell r="E97">
            <v>1.67</v>
          </cell>
          <cell r="F97">
            <v>1.87</v>
          </cell>
          <cell r="G97">
            <v>1.97</v>
          </cell>
          <cell r="H97">
            <v>2.0699999999999998</v>
          </cell>
          <cell r="I97">
            <v>2.12</v>
          </cell>
          <cell r="J97">
            <v>2.15</v>
          </cell>
          <cell r="K97">
            <v>2.16</v>
          </cell>
          <cell r="L97">
            <v>2.2799999999999998</v>
          </cell>
          <cell r="M97">
            <v>2.4300000000000002</v>
          </cell>
          <cell r="N97">
            <v>2.5299999999999998</v>
          </cell>
          <cell r="O97">
            <v>2.62</v>
          </cell>
          <cell r="P97">
            <v>2.73</v>
          </cell>
          <cell r="Q97">
            <v>2.74</v>
          </cell>
        </row>
        <row r="98">
          <cell r="A98" t="str">
            <v xml:space="preserve"> 1/31/52</v>
          </cell>
          <cell r="C98">
            <v>1.34</v>
          </cell>
          <cell r="D98">
            <v>1.56</v>
          </cell>
          <cell r="E98">
            <v>1.68</v>
          </cell>
          <cell r="F98">
            <v>1.73</v>
          </cell>
          <cell r="G98">
            <v>1.76</v>
          </cell>
          <cell r="H98">
            <v>1.89</v>
          </cell>
          <cell r="I98">
            <v>1.95</v>
          </cell>
          <cell r="J98">
            <v>2.0099999999999998</v>
          </cell>
          <cell r="K98">
            <v>2.0499999999999998</v>
          </cell>
          <cell r="L98">
            <v>2.19</v>
          </cell>
          <cell r="M98">
            <v>2.35</v>
          </cell>
          <cell r="N98">
            <v>2.48</v>
          </cell>
          <cell r="O98">
            <v>2.57</v>
          </cell>
          <cell r="P98">
            <v>2.74</v>
          </cell>
          <cell r="Q98">
            <v>2.75</v>
          </cell>
        </row>
        <row r="99">
          <cell r="A99" t="str">
            <v xml:space="preserve"> 2/29/52</v>
          </cell>
          <cell r="C99">
            <v>1.26</v>
          </cell>
          <cell r="D99">
            <v>1.63</v>
          </cell>
          <cell r="E99">
            <v>1.66</v>
          </cell>
          <cell r="F99">
            <v>1.71</v>
          </cell>
          <cell r="G99">
            <v>1.74</v>
          </cell>
          <cell r="H99">
            <v>1.91</v>
          </cell>
          <cell r="I99">
            <v>1.99</v>
          </cell>
          <cell r="J99">
            <v>2.0699999999999998</v>
          </cell>
          <cell r="K99">
            <v>2.11</v>
          </cell>
          <cell r="L99">
            <v>2.25</v>
          </cell>
          <cell r="M99">
            <v>2.41</v>
          </cell>
          <cell r="N99">
            <v>2.5299999999999998</v>
          </cell>
          <cell r="O99">
            <v>2.62</v>
          </cell>
          <cell r="P99">
            <v>2.74</v>
          </cell>
          <cell r="Q99">
            <v>2.75</v>
          </cell>
        </row>
        <row r="100">
          <cell r="A100" t="str">
            <v xml:space="preserve"> 3/31/52</v>
          </cell>
          <cell r="C100">
            <v>1.44</v>
          </cell>
          <cell r="D100">
            <v>1.49</v>
          </cell>
          <cell r="E100">
            <v>1.5</v>
          </cell>
          <cell r="F100">
            <v>1.62</v>
          </cell>
          <cell r="G100">
            <v>1.68</v>
          </cell>
          <cell r="H100">
            <v>1.74</v>
          </cell>
          <cell r="I100">
            <v>1.77</v>
          </cell>
          <cell r="J100">
            <v>1.93</v>
          </cell>
          <cell r="K100">
            <v>2.0099999999999998</v>
          </cell>
          <cell r="L100">
            <v>2.1800000000000002</v>
          </cell>
          <cell r="M100">
            <v>2.38</v>
          </cell>
          <cell r="N100">
            <v>2.5299999999999998</v>
          </cell>
          <cell r="O100">
            <v>2.64</v>
          </cell>
          <cell r="P100">
            <v>2.67</v>
          </cell>
          <cell r="Q100">
            <v>2.68</v>
          </cell>
        </row>
        <row r="101">
          <cell r="A101" t="str">
            <v xml:space="preserve"> 4/30/52</v>
          </cell>
          <cell r="C101">
            <v>1.62</v>
          </cell>
          <cell r="D101">
            <v>1.63</v>
          </cell>
          <cell r="E101">
            <v>1.47</v>
          </cell>
          <cell r="F101">
            <v>1.6</v>
          </cell>
          <cell r="G101">
            <v>1.67</v>
          </cell>
          <cell r="H101">
            <v>1.74</v>
          </cell>
          <cell r="I101">
            <v>1.77</v>
          </cell>
          <cell r="J101">
            <v>1.88</v>
          </cell>
          <cell r="K101">
            <v>1.94</v>
          </cell>
          <cell r="L101">
            <v>2.09</v>
          </cell>
          <cell r="M101">
            <v>2.27</v>
          </cell>
          <cell r="N101">
            <v>2.41</v>
          </cell>
          <cell r="O101">
            <v>2.52</v>
          </cell>
          <cell r="P101">
            <v>2.58</v>
          </cell>
          <cell r="Q101">
            <v>2.58</v>
          </cell>
        </row>
        <row r="102">
          <cell r="A102" t="str">
            <v xml:space="preserve"> 5/29/52</v>
          </cell>
          <cell r="C102">
            <v>1.66</v>
          </cell>
          <cell r="D102">
            <v>1.66</v>
          </cell>
          <cell r="E102">
            <v>1.55</v>
          </cell>
          <cell r="F102">
            <v>1.67</v>
          </cell>
          <cell r="G102">
            <v>1.73</v>
          </cell>
          <cell r="H102">
            <v>1.79</v>
          </cell>
          <cell r="I102">
            <v>1.83</v>
          </cell>
          <cell r="J102">
            <v>1.93</v>
          </cell>
          <cell r="K102">
            <v>1.98</v>
          </cell>
          <cell r="L102">
            <v>2.11</v>
          </cell>
          <cell r="M102">
            <v>2.25</v>
          </cell>
          <cell r="N102">
            <v>2.37</v>
          </cell>
          <cell r="O102">
            <v>2.4500000000000002</v>
          </cell>
          <cell r="P102">
            <v>2.63</v>
          </cell>
          <cell r="Q102">
            <v>2.64</v>
          </cell>
        </row>
        <row r="103">
          <cell r="A103" t="str">
            <v xml:space="preserve"> 6/30/52</v>
          </cell>
          <cell r="C103">
            <v>1.77</v>
          </cell>
          <cell r="D103">
            <v>1.77</v>
          </cell>
          <cell r="E103">
            <v>1.77</v>
          </cell>
          <cell r="F103">
            <v>1.83</v>
          </cell>
          <cell r="G103">
            <v>1.86</v>
          </cell>
          <cell r="H103">
            <v>1.89</v>
          </cell>
          <cell r="I103">
            <v>1.91</v>
          </cell>
          <cell r="J103">
            <v>2.0499999999999998</v>
          </cell>
          <cell r="K103">
            <v>2.12</v>
          </cell>
          <cell r="L103">
            <v>2.21</v>
          </cell>
          <cell r="M103">
            <v>2.3199999999999998</v>
          </cell>
          <cell r="N103">
            <v>2.41</v>
          </cell>
          <cell r="O103">
            <v>2.4700000000000002</v>
          </cell>
          <cell r="P103">
            <v>2.63</v>
          </cell>
          <cell r="Q103">
            <v>2.64</v>
          </cell>
        </row>
        <row r="104">
          <cell r="A104" t="str">
            <v xml:space="preserve"> 7/31/52</v>
          </cell>
          <cell r="C104">
            <v>1.82</v>
          </cell>
          <cell r="D104">
            <v>1.84</v>
          </cell>
          <cell r="E104">
            <v>1.84</v>
          </cell>
          <cell r="F104">
            <v>1.92</v>
          </cell>
          <cell r="G104">
            <v>1.96</v>
          </cell>
          <cell r="H104">
            <v>2.02</v>
          </cell>
          <cell r="I104">
            <v>2.0499999999999998</v>
          </cell>
          <cell r="J104">
            <v>2.14</v>
          </cell>
          <cell r="K104">
            <v>2.19</v>
          </cell>
          <cell r="L104">
            <v>2.2799999999999998</v>
          </cell>
          <cell r="M104">
            <v>2.38</v>
          </cell>
          <cell r="N104">
            <v>2.46</v>
          </cell>
          <cell r="O104">
            <v>2.52</v>
          </cell>
          <cell r="P104">
            <v>2.66</v>
          </cell>
          <cell r="Q104">
            <v>2.66</v>
          </cell>
        </row>
        <row r="105">
          <cell r="A105" t="str">
            <v xml:space="preserve"> 8/29/52</v>
          </cell>
          <cell r="C105">
            <v>1.67</v>
          </cell>
          <cell r="D105">
            <v>1.84</v>
          </cell>
          <cell r="E105">
            <v>1.92</v>
          </cell>
          <cell r="F105">
            <v>1.97</v>
          </cell>
          <cell r="G105">
            <v>1.99</v>
          </cell>
          <cell r="H105">
            <v>2.12</v>
          </cell>
          <cell r="I105">
            <v>2.1800000000000002</v>
          </cell>
          <cell r="J105">
            <v>2.2000000000000002</v>
          </cell>
          <cell r="K105">
            <v>2.2200000000000002</v>
          </cell>
          <cell r="L105">
            <v>2.33</v>
          </cell>
          <cell r="M105">
            <v>2.46</v>
          </cell>
          <cell r="N105">
            <v>2.56</v>
          </cell>
          <cell r="O105">
            <v>2.64</v>
          </cell>
          <cell r="P105">
            <v>2.72</v>
          </cell>
          <cell r="Q105">
            <v>2.72</v>
          </cell>
        </row>
        <row r="106">
          <cell r="A106" t="str">
            <v xml:space="preserve"> 9/30/52</v>
          </cell>
          <cell r="C106">
            <v>1.54</v>
          </cell>
          <cell r="D106">
            <v>1.75</v>
          </cell>
          <cell r="E106">
            <v>1.82</v>
          </cell>
          <cell r="F106">
            <v>1.93</v>
          </cell>
          <cell r="G106">
            <v>1.98</v>
          </cell>
          <cell r="H106">
            <v>2.14</v>
          </cell>
          <cell r="I106">
            <v>2.2200000000000002</v>
          </cell>
          <cell r="J106">
            <v>2.2200000000000002</v>
          </cell>
          <cell r="K106">
            <v>2.21</v>
          </cell>
          <cell r="L106">
            <v>2.37</v>
          </cell>
          <cell r="M106">
            <v>2.5499999999999998</v>
          </cell>
          <cell r="N106">
            <v>2.68</v>
          </cell>
          <cell r="O106">
            <v>2.78</v>
          </cell>
          <cell r="P106" t="e">
            <v>#N/A</v>
          </cell>
          <cell r="Q106">
            <v>2.82</v>
          </cell>
        </row>
        <row r="107">
          <cell r="A107" t="str">
            <v>10/31/52</v>
          </cell>
          <cell r="C107">
            <v>1.5</v>
          </cell>
          <cell r="D107">
            <v>1.8</v>
          </cell>
          <cell r="E107">
            <v>1.75</v>
          </cell>
          <cell r="F107">
            <v>1.86</v>
          </cell>
          <cell r="G107">
            <v>1.91</v>
          </cell>
          <cell r="H107">
            <v>2.08</v>
          </cell>
          <cell r="I107">
            <v>2.17</v>
          </cell>
          <cell r="J107">
            <v>2.2000000000000002</v>
          </cell>
          <cell r="K107">
            <v>2.21</v>
          </cell>
          <cell r="L107">
            <v>2.3199999999999998</v>
          </cell>
          <cell r="M107">
            <v>2.44</v>
          </cell>
          <cell r="N107">
            <v>2.5299999999999998</v>
          </cell>
          <cell r="O107">
            <v>2.6</v>
          </cell>
          <cell r="P107" t="e">
            <v>#N/A</v>
          </cell>
          <cell r="Q107">
            <v>2.75</v>
          </cell>
        </row>
        <row r="108">
          <cell r="A108" t="str">
            <v>11/28/52</v>
          </cell>
          <cell r="C108">
            <v>1.73</v>
          </cell>
          <cell r="D108">
            <v>1.94</v>
          </cell>
          <cell r="E108">
            <v>2.0299999999999998</v>
          </cell>
          <cell r="F108">
            <v>2.06</v>
          </cell>
          <cell r="G108">
            <v>2.0699999999999998</v>
          </cell>
          <cell r="H108">
            <v>2.2000000000000002</v>
          </cell>
          <cell r="I108">
            <v>2.2599999999999998</v>
          </cell>
          <cell r="J108">
            <v>2.27</v>
          </cell>
          <cell r="K108">
            <v>2.27</v>
          </cell>
          <cell r="L108">
            <v>2.35</v>
          </cell>
          <cell r="M108">
            <v>2.44</v>
          </cell>
          <cell r="N108">
            <v>2.5099999999999998</v>
          </cell>
          <cell r="O108">
            <v>2.57</v>
          </cell>
          <cell r="P108" t="e">
            <v>#N/A</v>
          </cell>
          <cell r="Q108">
            <v>2.79</v>
          </cell>
        </row>
        <row r="109">
          <cell r="A109" t="str">
            <v>12/31/52</v>
          </cell>
          <cell r="C109">
            <v>1.96</v>
          </cell>
          <cell r="D109">
            <v>2.0299999999999998</v>
          </cell>
          <cell r="E109">
            <v>1.93</v>
          </cell>
          <cell r="F109">
            <v>2.02</v>
          </cell>
          <cell r="G109">
            <v>2.06</v>
          </cell>
          <cell r="H109">
            <v>2.2200000000000002</v>
          </cell>
          <cell r="I109">
            <v>2.2999999999999998</v>
          </cell>
          <cell r="J109">
            <v>2.29</v>
          </cell>
          <cell r="K109">
            <v>2.29</v>
          </cell>
          <cell r="L109">
            <v>2.37</v>
          </cell>
          <cell r="M109">
            <v>2.4700000000000002</v>
          </cell>
          <cell r="N109">
            <v>2.54</v>
          </cell>
          <cell r="O109">
            <v>2.59</v>
          </cell>
          <cell r="P109" t="e">
            <v>#N/A</v>
          </cell>
          <cell r="Q109">
            <v>2.88</v>
          </cell>
        </row>
        <row r="110">
          <cell r="A110" t="str">
            <v xml:space="preserve"> 1/30/53</v>
          </cell>
          <cell r="C110">
            <v>1.83</v>
          </cell>
          <cell r="D110">
            <v>1.89</v>
          </cell>
          <cell r="E110">
            <v>1.9</v>
          </cell>
          <cell r="F110">
            <v>1.97</v>
          </cell>
          <cell r="G110">
            <v>2</v>
          </cell>
          <cell r="H110">
            <v>2.17</v>
          </cell>
          <cell r="I110">
            <v>2.25</v>
          </cell>
          <cell r="J110">
            <v>2.2400000000000002</v>
          </cell>
          <cell r="K110">
            <v>2.2400000000000002</v>
          </cell>
          <cell r="L110">
            <v>2.36</v>
          </cell>
          <cell r="M110">
            <v>2.5099999999999998</v>
          </cell>
          <cell r="N110">
            <v>2.66</v>
          </cell>
          <cell r="O110">
            <v>2.79</v>
          </cell>
          <cell r="P110" t="e">
            <v>#N/A</v>
          </cell>
          <cell r="Q110">
            <v>2.85</v>
          </cell>
        </row>
        <row r="111">
          <cell r="A111" t="str">
            <v xml:space="preserve"> 2/27/53</v>
          </cell>
          <cell r="C111">
            <v>2.02</v>
          </cell>
          <cell r="D111">
            <v>2.04</v>
          </cell>
          <cell r="E111">
            <v>1.92</v>
          </cell>
          <cell r="F111">
            <v>2.06</v>
          </cell>
          <cell r="G111">
            <v>2.13</v>
          </cell>
          <cell r="H111">
            <v>2.25</v>
          </cell>
          <cell r="I111">
            <v>2.2999999999999998</v>
          </cell>
          <cell r="J111">
            <v>2.2999999999999998</v>
          </cell>
          <cell r="K111">
            <v>2.2999999999999998</v>
          </cell>
          <cell r="L111">
            <v>2.42</v>
          </cell>
          <cell r="M111">
            <v>2.56</v>
          </cell>
          <cell r="N111">
            <v>2.73</v>
          </cell>
          <cell r="O111">
            <v>2.89</v>
          </cell>
          <cell r="P111" t="e">
            <v>#N/A</v>
          </cell>
          <cell r="Q111">
            <v>2.93</v>
          </cell>
        </row>
        <row r="112">
          <cell r="A112" t="str">
            <v xml:space="preserve"> 3/31/53</v>
          </cell>
          <cell r="C112">
            <v>2</v>
          </cell>
          <cell r="D112">
            <v>2.04</v>
          </cell>
          <cell r="E112">
            <v>1.97</v>
          </cell>
          <cell r="F112">
            <v>2.12</v>
          </cell>
          <cell r="G112">
            <v>2.19</v>
          </cell>
          <cell r="H112">
            <v>2.25</v>
          </cell>
          <cell r="I112">
            <v>2.2799999999999998</v>
          </cell>
          <cell r="J112">
            <v>2.36</v>
          </cell>
          <cell r="K112">
            <v>2.4</v>
          </cell>
          <cell r="L112">
            <v>2.5099999999999998</v>
          </cell>
          <cell r="M112">
            <v>2.63</v>
          </cell>
          <cell r="N112">
            <v>2.79</v>
          </cell>
          <cell r="O112">
            <v>2.94</v>
          </cell>
          <cell r="P112" t="e">
            <v>#N/A</v>
          </cell>
          <cell r="Q112">
            <v>3.02</v>
          </cell>
        </row>
        <row r="113">
          <cell r="A113" t="str">
            <v xml:space="preserve"> 4/30/53</v>
          </cell>
          <cell r="C113">
            <v>2.11</v>
          </cell>
          <cell r="D113">
            <v>2.27</v>
          </cell>
          <cell r="E113">
            <v>2.2599999999999998</v>
          </cell>
          <cell r="F113">
            <v>2.42</v>
          </cell>
          <cell r="G113">
            <v>2.5</v>
          </cell>
          <cell r="H113">
            <v>2.5299999999999998</v>
          </cell>
          <cell r="I113">
            <v>2.54</v>
          </cell>
          <cell r="J113">
            <v>2.52</v>
          </cell>
          <cell r="K113">
            <v>2.5099999999999998</v>
          </cell>
          <cell r="L113">
            <v>2.69</v>
          </cell>
          <cell r="M113">
            <v>2.91</v>
          </cell>
          <cell r="N113">
            <v>2.98</v>
          </cell>
          <cell r="O113">
            <v>3</v>
          </cell>
          <cell r="P113">
            <v>3.15</v>
          </cell>
          <cell r="Q113">
            <v>3.35</v>
          </cell>
        </row>
        <row r="114">
          <cell r="A114" t="str">
            <v xml:space="preserve"> 5/29/53</v>
          </cell>
          <cell r="C114">
            <v>1.86</v>
          </cell>
          <cell r="D114">
            <v>2.31</v>
          </cell>
          <cell r="E114">
            <v>2.41</v>
          </cell>
          <cell r="F114">
            <v>2.59</v>
          </cell>
          <cell r="G114">
            <v>2.68</v>
          </cell>
          <cell r="H114">
            <v>2.71</v>
          </cell>
          <cell r="I114">
            <v>2.73</v>
          </cell>
          <cell r="J114">
            <v>2.76</v>
          </cell>
          <cell r="K114">
            <v>2.78</v>
          </cell>
          <cell r="L114">
            <v>2.99</v>
          </cell>
          <cell r="M114">
            <v>3.24</v>
          </cell>
          <cell r="N114">
            <v>3.27</v>
          </cell>
          <cell r="O114">
            <v>3.2</v>
          </cell>
          <cell r="P114">
            <v>3.25</v>
          </cell>
          <cell r="Q114">
            <v>3.32</v>
          </cell>
        </row>
        <row r="115">
          <cell r="A115" t="str">
            <v xml:space="preserve"> 6/30/53</v>
          </cell>
          <cell r="C115">
            <v>1.68</v>
          </cell>
          <cell r="D115">
            <v>1.99</v>
          </cell>
          <cell r="E115">
            <v>2.15</v>
          </cell>
          <cell r="F115">
            <v>2.31</v>
          </cell>
          <cell r="G115">
            <v>2.39</v>
          </cell>
          <cell r="H115">
            <v>2.4900000000000002</v>
          </cell>
          <cell r="I115">
            <v>2.5299999999999998</v>
          </cell>
          <cell r="J115">
            <v>2.57</v>
          </cell>
          <cell r="K115">
            <v>2.58</v>
          </cell>
          <cell r="L115">
            <v>2.75</v>
          </cell>
          <cell r="M115">
            <v>2.95</v>
          </cell>
          <cell r="N115">
            <v>3.02</v>
          </cell>
          <cell r="O115">
            <v>3.02</v>
          </cell>
          <cell r="P115">
            <v>3.16</v>
          </cell>
          <cell r="Q115">
            <v>3.34</v>
          </cell>
        </row>
        <row r="116">
          <cell r="A116" t="str">
            <v xml:space="preserve"> 7/31/53</v>
          </cell>
          <cell r="C116">
            <v>1.91</v>
          </cell>
          <cell r="D116">
            <v>2.08</v>
          </cell>
          <cell r="E116">
            <v>2.09</v>
          </cell>
          <cell r="F116">
            <v>2.29</v>
          </cell>
          <cell r="G116">
            <v>2.39</v>
          </cell>
          <cell r="H116">
            <v>2.36</v>
          </cell>
          <cell r="I116">
            <v>2.35</v>
          </cell>
          <cell r="J116">
            <v>2.4900000000000002</v>
          </cell>
          <cell r="K116">
            <v>2.56</v>
          </cell>
          <cell r="L116">
            <v>2.71</v>
          </cell>
          <cell r="M116">
            <v>2.88</v>
          </cell>
          <cell r="N116">
            <v>2.96</v>
          </cell>
          <cell r="O116">
            <v>2.99</v>
          </cell>
          <cell r="P116">
            <v>3.18</v>
          </cell>
          <cell r="Q116">
            <v>3.33</v>
          </cell>
        </row>
        <row r="117">
          <cell r="A117" t="str">
            <v xml:space="preserve"> 8/31/53</v>
          </cell>
          <cell r="C117">
            <v>1.78</v>
          </cell>
          <cell r="D117">
            <v>1.88</v>
          </cell>
          <cell r="E117">
            <v>2.11</v>
          </cell>
          <cell r="F117">
            <v>2.29</v>
          </cell>
          <cell r="G117">
            <v>2.38</v>
          </cell>
          <cell r="H117">
            <v>2.2799999999999998</v>
          </cell>
          <cell r="I117">
            <v>2.2200000000000002</v>
          </cell>
          <cell r="J117">
            <v>2.52</v>
          </cell>
          <cell r="K117">
            <v>2.66</v>
          </cell>
          <cell r="L117">
            <v>2.78</v>
          </cell>
          <cell r="M117">
            <v>2.92</v>
          </cell>
          <cell r="N117">
            <v>2.99</v>
          </cell>
          <cell r="O117">
            <v>3.02</v>
          </cell>
          <cell r="P117">
            <v>3.18</v>
          </cell>
          <cell r="Q117">
            <v>3.3</v>
          </cell>
        </row>
        <row r="118">
          <cell r="A118" t="str">
            <v xml:space="preserve"> 9/30/53</v>
          </cell>
          <cell r="C118">
            <v>1.32</v>
          </cell>
          <cell r="D118">
            <v>1.5</v>
          </cell>
          <cell r="E118">
            <v>1.7</v>
          </cell>
          <cell r="F118">
            <v>1.92</v>
          </cell>
          <cell r="G118">
            <v>2.0299999999999998</v>
          </cell>
          <cell r="H118">
            <v>2.14</v>
          </cell>
          <cell r="I118">
            <v>2.2000000000000002</v>
          </cell>
          <cell r="J118">
            <v>2.33</v>
          </cell>
          <cell r="K118">
            <v>2.4</v>
          </cell>
          <cell r="L118">
            <v>2.46</v>
          </cell>
          <cell r="M118">
            <v>2.5299999999999998</v>
          </cell>
          <cell r="N118">
            <v>2.64</v>
          </cell>
          <cell r="O118">
            <v>2.76</v>
          </cell>
          <cell r="P118">
            <v>3.04</v>
          </cell>
          <cell r="Q118">
            <v>3.23</v>
          </cell>
        </row>
        <row r="119">
          <cell r="A119" t="str">
            <v>10/30/53</v>
          </cell>
          <cell r="C119">
            <v>0.93</v>
          </cell>
          <cell r="D119">
            <v>1.21</v>
          </cell>
          <cell r="E119">
            <v>1.3</v>
          </cell>
          <cell r="F119">
            <v>1.58</v>
          </cell>
          <cell r="G119">
            <v>1.72</v>
          </cell>
          <cell r="H119">
            <v>1.85</v>
          </cell>
          <cell r="I119">
            <v>1.92</v>
          </cell>
          <cell r="J119">
            <v>2.15</v>
          </cell>
          <cell r="K119">
            <v>2.2599999999999998</v>
          </cell>
          <cell r="L119">
            <v>2.35</v>
          </cell>
          <cell r="M119">
            <v>2.46</v>
          </cell>
          <cell r="N119">
            <v>2.61</v>
          </cell>
          <cell r="O119">
            <v>2.77</v>
          </cell>
          <cell r="P119">
            <v>2.98</v>
          </cell>
          <cell r="Q119">
            <v>3.12</v>
          </cell>
        </row>
        <row r="120">
          <cell r="A120" t="str">
            <v>11/30/53</v>
          </cell>
          <cell r="C120">
            <v>1.19</v>
          </cell>
          <cell r="D120">
            <v>1.48</v>
          </cell>
          <cell r="E120">
            <v>1.46</v>
          </cell>
          <cell r="F120">
            <v>1.52</v>
          </cell>
          <cell r="G120">
            <v>1.55</v>
          </cell>
          <cell r="H120">
            <v>1.85</v>
          </cell>
          <cell r="I120">
            <v>1.99</v>
          </cell>
          <cell r="J120">
            <v>2.17</v>
          </cell>
          <cell r="K120">
            <v>2.25</v>
          </cell>
          <cell r="L120">
            <v>2.4</v>
          </cell>
          <cell r="M120">
            <v>2.56</v>
          </cell>
          <cell r="N120">
            <v>2.71</v>
          </cell>
          <cell r="O120">
            <v>2.83</v>
          </cell>
          <cell r="P120">
            <v>3</v>
          </cell>
          <cell r="Q120">
            <v>3.11</v>
          </cell>
        </row>
        <row r="121">
          <cell r="A121" t="str">
            <v>12/31/53</v>
          </cell>
          <cell r="C121">
            <v>1.27</v>
          </cell>
          <cell r="D121">
            <v>1.38</v>
          </cell>
          <cell r="E121">
            <v>1.2</v>
          </cell>
          <cell r="F121">
            <v>1.45</v>
          </cell>
          <cell r="G121">
            <v>1.58</v>
          </cell>
          <cell r="H121">
            <v>1.79</v>
          </cell>
          <cell r="I121">
            <v>1.9</v>
          </cell>
          <cell r="J121">
            <v>2.02</v>
          </cell>
          <cell r="K121">
            <v>2.08</v>
          </cell>
          <cell r="L121">
            <v>2.2000000000000002</v>
          </cell>
          <cell r="M121">
            <v>2.33</v>
          </cell>
          <cell r="N121">
            <v>2.5099999999999998</v>
          </cell>
          <cell r="O121">
            <v>2.68</v>
          </cell>
          <cell r="P121">
            <v>2.89</v>
          </cell>
          <cell r="Q121">
            <v>3.03</v>
          </cell>
        </row>
        <row r="122">
          <cell r="A122" t="str">
            <v xml:space="preserve"> 1/29/54</v>
          </cell>
          <cell r="C122">
            <v>0.95</v>
          </cell>
          <cell r="D122">
            <v>0.79</v>
          </cell>
          <cell r="E122">
            <v>0.72</v>
          </cell>
          <cell r="F122">
            <v>1</v>
          </cell>
          <cell r="G122">
            <v>1.1399999999999999</v>
          </cell>
          <cell r="H122">
            <v>1.39</v>
          </cell>
          <cell r="I122">
            <v>1.51</v>
          </cell>
          <cell r="J122">
            <v>1.71</v>
          </cell>
          <cell r="K122">
            <v>1.81</v>
          </cell>
          <cell r="L122">
            <v>2.04</v>
          </cell>
          <cell r="M122">
            <v>2.2999999999999998</v>
          </cell>
          <cell r="N122">
            <v>2.48</v>
          </cell>
          <cell r="O122">
            <v>2.62</v>
          </cell>
          <cell r="P122">
            <v>2.83</v>
          </cell>
          <cell r="Q122">
            <v>2.98</v>
          </cell>
        </row>
        <row r="123">
          <cell r="A123" t="str">
            <v xml:space="preserve"> 2/26/54</v>
          </cell>
          <cell r="C123">
            <v>0.85</v>
          </cell>
          <cell r="D123">
            <v>0.87</v>
          </cell>
          <cell r="E123">
            <v>0.66</v>
          </cell>
          <cell r="F123">
            <v>0.94</v>
          </cell>
          <cell r="G123">
            <v>1.0900000000000001</v>
          </cell>
          <cell r="H123">
            <v>1.23</v>
          </cell>
          <cell r="I123">
            <v>1.3</v>
          </cell>
          <cell r="J123">
            <v>1.55</v>
          </cell>
          <cell r="K123">
            <v>1.68</v>
          </cell>
          <cell r="L123">
            <v>1.98</v>
          </cell>
          <cell r="M123">
            <v>2.33</v>
          </cell>
          <cell r="N123">
            <v>2.4700000000000002</v>
          </cell>
          <cell r="O123">
            <v>2.52</v>
          </cell>
          <cell r="P123">
            <v>2.71</v>
          </cell>
          <cell r="Q123">
            <v>2.83</v>
          </cell>
        </row>
        <row r="124">
          <cell r="A124" t="str">
            <v xml:space="preserve"> 3/31/54</v>
          </cell>
          <cell r="C124">
            <v>0.98</v>
          </cell>
          <cell r="D124">
            <v>1.02</v>
          </cell>
          <cell r="E124">
            <v>0.6</v>
          </cell>
          <cell r="F124">
            <v>0.88</v>
          </cell>
          <cell r="G124">
            <v>1.02</v>
          </cell>
          <cell r="H124">
            <v>1.23</v>
          </cell>
          <cell r="I124">
            <v>1.33</v>
          </cell>
          <cell r="J124">
            <v>1.55</v>
          </cell>
          <cell r="K124">
            <v>1.66</v>
          </cell>
          <cell r="L124">
            <v>1.93</v>
          </cell>
          <cell r="M124">
            <v>2.2400000000000002</v>
          </cell>
          <cell r="N124">
            <v>2.46</v>
          </cell>
          <cell r="O124">
            <v>2.61</v>
          </cell>
          <cell r="P124">
            <v>2.74</v>
          </cell>
          <cell r="Q124">
            <v>2.82</v>
          </cell>
        </row>
        <row r="125">
          <cell r="A125" t="str">
            <v xml:space="preserve"> 4/30/54</v>
          </cell>
          <cell r="C125">
            <v>0.65</v>
          </cell>
          <cell r="D125">
            <v>0.62</v>
          </cell>
          <cell r="E125">
            <v>0.05</v>
          </cell>
          <cell r="F125">
            <v>0.56999999999999995</v>
          </cell>
          <cell r="G125">
            <v>0.85</v>
          </cell>
          <cell r="H125">
            <v>1.08</v>
          </cell>
          <cell r="I125">
            <v>1.2</v>
          </cell>
          <cell r="J125">
            <v>1.44</v>
          </cell>
          <cell r="K125">
            <v>1.57</v>
          </cell>
          <cell r="L125">
            <v>1.81</v>
          </cell>
          <cell r="M125">
            <v>2.09</v>
          </cell>
          <cell r="N125">
            <v>2.36</v>
          </cell>
          <cell r="O125">
            <v>2.62</v>
          </cell>
          <cell r="P125">
            <v>2.72</v>
          </cell>
          <cell r="Q125">
            <v>2.77</v>
          </cell>
        </row>
        <row r="126">
          <cell r="A126" t="str">
            <v xml:space="preserve"> 5/28/54</v>
          </cell>
          <cell r="C126">
            <v>0.57999999999999996</v>
          </cell>
          <cell r="D126">
            <v>0.62</v>
          </cell>
          <cell r="E126">
            <v>0.53</v>
          </cell>
          <cell r="F126">
            <v>0.69</v>
          </cell>
          <cell r="G126">
            <v>0.77</v>
          </cell>
          <cell r="H126">
            <v>1.1299999999999999</v>
          </cell>
          <cell r="I126">
            <v>1.31</v>
          </cell>
          <cell r="J126">
            <v>1.62</v>
          </cell>
          <cell r="K126">
            <v>1.77</v>
          </cell>
          <cell r="L126">
            <v>2.0299999999999998</v>
          </cell>
          <cell r="M126">
            <v>2.3199999999999998</v>
          </cell>
          <cell r="N126">
            <v>2.48</v>
          </cell>
          <cell r="O126">
            <v>2.57</v>
          </cell>
          <cell r="P126">
            <v>2.73</v>
          </cell>
          <cell r="Q126">
            <v>2.82</v>
          </cell>
        </row>
        <row r="127">
          <cell r="A127" t="str">
            <v xml:space="preserve"> 6/30/54</v>
          </cell>
          <cell r="C127">
            <v>0.59</v>
          </cell>
          <cell r="D127">
            <v>0.6</v>
          </cell>
          <cell r="E127">
            <v>0.57999999999999996</v>
          </cell>
          <cell r="F127">
            <v>0.59</v>
          </cell>
          <cell r="G127">
            <v>0.59</v>
          </cell>
          <cell r="H127">
            <v>0.93</v>
          </cell>
          <cell r="I127">
            <v>1.1000000000000001</v>
          </cell>
          <cell r="J127">
            <v>1.44</v>
          </cell>
          <cell r="K127">
            <v>1.61</v>
          </cell>
          <cell r="L127">
            <v>1.88</v>
          </cell>
          <cell r="M127">
            <v>2.1800000000000002</v>
          </cell>
          <cell r="N127">
            <v>2.4500000000000002</v>
          </cell>
          <cell r="O127">
            <v>2.67</v>
          </cell>
          <cell r="P127">
            <v>2.72</v>
          </cell>
          <cell r="Q127">
            <v>2.73</v>
          </cell>
        </row>
        <row r="128">
          <cell r="A128" t="str">
            <v xml:space="preserve"> 7/30/54</v>
          </cell>
          <cell r="C128">
            <v>0.64</v>
          </cell>
          <cell r="D128">
            <v>0.66</v>
          </cell>
          <cell r="E128">
            <v>0.66</v>
          </cell>
          <cell r="F128">
            <v>0.49</v>
          </cell>
          <cell r="G128">
            <v>0.4</v>
          </cell>
          <cell r="H128">
            <v>0.92</v>
          </cell>
          <cell r="I128">
            <v>1.18</v>
          </cell>
          <cell r="J128">
            <v>1.5</v>
          </cell>
          <cell r="K128">
            <v>1.65</v>
          </cell>
          <cell r="L128">
            <v>1.91</v>
          </cell>
          <cell r="M128">
            <v>2.21</v>
          </cell>
          <cell r="N128">
            <v>2.41</v>
          </cell>
          <cell r="O128">
            <v>2.56</v>
          </cell>
          <cell r="P128">
            <v>2.63</v>
          </cell>
          <cell r="Q128">
            <v>2.66</v>
          </cell>
        </row>
        <row r="129">
          <cell r="A129" t="str">
            <v xml:space="preserve"> 8/31/54</v>
          </cell>
          <cell r="C129">
            <v>1.03</v>
          </cell>
          <cell r="D129">
            <v>0.98</v>
          </cell>
          <cell r="E129">
            <v>0.84</v>
          </cell>
          <cell r="F129">
            <v>0.72</v>
          </cell>
          <cell r="G129">
            <v>0.66</v>
          </cell>
          <cell r="H129">
            <v>1.04</v>
          </cell>
          <cell r="I129">
            <v>1.24</v>
          </cell>
          <cell r="J129">
            <v>1.54</v>
          </cell>
          <cell r="K129">
            <v>1.69</v>
          </cell>
          <cell r="L129">
            <v>1.96</v>
          </cell>
          <cell r="M129">
            <v>2.27</v>
          </cell>
          <cell r="N129">
            <v>2.4500000000000002</v>
          </cell>
          <cell r="O129">
            <v>2.57</v>
          </cell>
          <cell r="P129">
            <v>2.64</v>
          </cell>
          <cell r="Q129">
            <v>2.68</v>
          </cell>
        </row>
        <row r="130">
          <cell r="A130" t="str">
            <v xml:space="preserve"> 9/30/54</v>
          </cell>
          <cell r="C130">
            <v>0.85</v>
          </cell>
          <cell r="D130">
            <v>0.97</v>
          </cell>
          <cell r="E130">
            <v>0.85</v>
          </cell>
          <cell r="F130">
            <v>0.83</v>
          </cell>
          <cell r="G130">
            <v>0.82</v>
          </cell>
          <cell r="H130">
            <v>1.23</v>
          </cell>
          <cell r="I130">
            <v>1.43</v>
          </cell>
          <cell r="J130">
            <v>1.68</v>
          </cell>
          <cell r="K130">
            <v>1.8</v>
          </cell>
          <cell r="L130">
            <v>2.0299999999999998</v>
          </cell>
          <cell r="M130">
            <v>2.2999999999999998</v>
          </cell>
          <cell r="N130">
            <v>2.4500000000000002</v>
          </cell>
          <cell r="O130">
            <v>2.5499999999999998</v>
          </cell>
          <cell r="P130">
            <v>2.65</v>
          </cell>
          <cell r="Q130">
            <v>2.7</v>
          </cell>
        </row>
        <row r="131">
          <cell r="A131" t="str">
            <v>10/29/54</v>
          </cell>
          <cell r="C131">
            <v>0.77</v>
          </cell>
          <cell r="D131">
            <v>0.97</v>
          </cell>
          <cell r="E131">
            <v>0.99</v>
          </cell>
          <cell r="F131">
            <v>0.99</v>
          </cell>
          <cell r="G131">
            <v>0.99</v>
          </cell>
          <cell r="H131">
            <v>1.36</v>
          </cell>
          <cell r="I131">
            <v>1.55</v>
          </cell>
          <cell r="J131">
            <v>1.79</v>
          </cell>
          <cell r="K131">
            <v>1.91</v>
          </cell>
          <cell r="L131">
            <v>2.1</v>
          </cell>
          <cell r="M131">
            <v>2.33</v>
          </cell>
          <cell r="N131">
            <v>2.46</v>
          </cell>
          <cell r="O131">
            <v>2.5299999999999998</v>
          </cell>
          <cell r="P131">
            <v>2.65</v>
          </cell>
          <cell r="Q131">
            <v>2.72</v>
          </cell>
        </row>
        <row r="132">
          <cell r="A132" t="str">
            <v>11/30/54</v>
          </cell>
          <cell r="C132">
            <v>0.87</v>
          </cell>
          <cell r="D132">
            <v>1.02</v>
          </cell>
          <cell r="E132">
            <v>0.98</v>
          </cell>
          <cell r="F132">
            <v>0.96</v>
          </cell>
          <cell r="G132">
            <v>0.96</v>
          </cell>
          <cell r="H132">
            <v>1.36</v>
          </cell>
          <cell r="I132">
            <v>1.56</v>
          </cell>
          <cell r="J132">
            <v>1.79</v>
          </cell>
          <cell r="K132">
            <v>1.9</v>
          </cell>
          <cell r="L132">
            <v>2.09</v>
          </cell>
          <cell r="M132">
            <v>2.31</v>
          </cell>
          <cell r="N132">
            <v>2.4700000000000002</v>
          </cell>
          <cell r="O132">
            <v>2.59</v>
          </cell>
          <cell r="P132">
            <v>2.7</v>
          </cell>
          <cell r="Q132">
            <v>2.75</v>
          </cell>
        </row>
        <row r="133">
          <cell r="A133" t="str">
            <v>12/31/54</v>
          </cell>
          <cell r="C133">
            <v>0.95</v>
          </cell>
          <cell r="D133">
            <v>1</v>
          </cell>
          <cell r="E133">
            <v>0.86</v>
          </cell>
          <cell r="F133">
            <v>1.06</v>
          </cell>
          <cell r="G133">
            <v>1.1599999999999999</v>
          </cell>
          <cell r="H133">
            <v>1.47</v>
          </cell>
          <cell r="I133">
            <v>1.62</v>
          </cell>
          <cell r="J133">
            <v>1.87</v>
          </cell>
          <cell r="K133">
            <v>1.99</v>
          </cell>
          <cell r="L133">
            <v>2.16</v>
          </cell>
          <cell r="M133">
            <v>2.35</v>
          </cell>
          <cell r="N133">
            <v>2.5</v>
          </cell>
          <cell r="O133">
            <v>2.61</v>
          </cell>
          <cell r="P133">
            <v>2.68</v>
          </cell>
          <cell r="Q133">
            <v>2.71</v>
          </cell>
        </row>
        <row r="134">
          <cell r="A134" t="str">
            <v xml:space="preserve"> 1/31/55</v>
          </cell>
          <cell r="C134">
            <v>1.1000000000000001</v>
          </cell>
          <cell r="D134">
            <v>1.1100000000000001</v>
          </cell>
          <cell r="E134">
            <v>1.1200000000000001</v>
          </cell>
          <cell r="F134">
            <v>1.25</v>
          </cell>
          <cell r="G134">
            <v>1.32</v>
          </cell>
          <cell r="H134">
            <v>1.65</v>
          </cell>
          <cell r="I134">
            <v>1.82</v>
          </cell>
          <cell r="J134">
            <v>2.0099999999999998</v>
          </cell>
          <cell r="K134">
            <v>2.1</v>
          </cell>
          <cell r="L134">
            <v>2.2599999999999998</v>
          </cell>
          <cell r="M134">
            <v>2.4500000000000002</v>
          </cell>
          <cell r="N134">
            <v>2.61</v>
          </cell>
          <cell r="O134">
            <v>2.74</v>
          </cell>
          <cell r="P134">
            <v>2.8</v>
          </cell>
          <cell r="Q134">
            <v>2.82</v>
          </cell>
        </row>
        <row r="135">
          <cell r="A135" t="str">
            <v xml:space="preserve"> 2/28/55</v>
          </cell>
          <cell r="C135">
            <v>1.08</v>
          </cell>
          <cell r="D135">
            <v>1.32</v>
          </cell>
          <cell r="E135">
            <v>1.32</v>
          </cell>
          <cell r="F135">
            <v>1.58</v>
          </cell>
          <cell r="G135">
            <v>1.71</v>
          </cell>
          <cell r="H135">
            <v>2.02</v>
          </cell>
          <cell r="I135">
            <v>2.17</v>
          </cell>
          <cell r="J135">
            <v>2.2799999999999998</v>
          </cell>
          <cell r="K135">
            <v>2.34</v>
          </cell>
          <cell r="L135">
            <v>2.4500000000000002</v>
          </cell>
          <cell r="M135">
            <v>2.58</v>
          </cell>
          <cell r="N135">
            <v>2.69</v>
          </cell>
          <cell r="O135">
            <v>2.79</v>
          </cell>
          <cell r="P135">
            <v>2.89</v>
          </cell>
          <cell r="Q135">
            <v>3.07</v>
          </cell>
        </row>
        <row r="136">
          <cell r="A136" t="str">
            <v xml:space="preserve"> 3/31/55</v>
          </cell>
          <cell r="C136">
            <v>1.28</v>
          </cell>
          <cell r="D136">
            <v>1.39</v>
          </cell>
          <cell r="E136">
            <v>1.4</v>
          </cell>
          <cell r="F136">
            <v>1.46</v>
          </cell>
          <cell r="G136">
            <v>1.5</v>
          </cell>
          <cell r="H136">
            <v>1.91</v>
          </cell>
          <cell r="I136">
            <v>2.12</v>
          </cell>
          <cell r="J136">
            <v>2.27</v>
          </cell>
          <cell r="K136">
            <v>2.35</v>
          </cell>
          <cell r="L136">
            <v>2.46</v>
          </cell>
          <cell r="M136">
            <v>2.58</v>
          </cell>
          <cell r="N136">
            <v>2.68</v>
          </cell>
          <cell r="O136">
            <v>2.76</v>
          </cell>
          <cell r="P136">
            <v>2.87</v>
          </cell>
          <cell r="Q136">
            <v>3.06</v>
          </cell>
        </row>
        <row r="137">
          <cell r="A137" t="str">
            <v xml:space="preserve"> 4/29/55</v>
          </cell>
          <cell r="C137">
            <v>1.47</v>
          </cell>
          <cell r="D137">
            <v>1.55</v>
          </cell>
          <cell r="E137">
            <v>1.54</v>
          </cell>
          <cell r="F137">
            <v>1.64</v>
          </cell>
          <cell r="G137">
            <v>1.69</v>
          </cell>
          <cell r="H137">
            <v>2.02</v>
          </cell>
          <cell r="I137">
            <v>2.19</v>
          </cell>
          <cell r="J137">
            <v>2.35</v>
          </cell>
          <cell r="K137">
            <v>2.42</v>
          </cell>
          <cell r="L137">
            <v>2.52</v>
          </cell>
          <cell r="M137">
            <v>2.62</v>
          </cell>
          <cell r="N137">
            <v>2.72</v>
          </cell>
          <cell r="O137">
            <v>2.81</v>
          </cell>
          <cell r="P137">
            <v>2.89</v>
          </cell>
          <cell r="Q137">
            <v>3.04</v>
          </cell>
        </row>
        <row r="138">
          <cell r="A138" t="str">
            <v xml:space="preserve"> 5/31/55</v>
          </cell>
          <cell r="C138">
            <v>1.06</v>
          </cell>
          <cell r="D138">
            <v>1.39</v>
          </cell>
          <cell r="E138">
            <v>1.46</v>
          </cell>
          <cell r="F138">
            <v>1.69</v>
          </cell>
          <cell r="G138">
            <v>1.81</v>
          </cell>
          <cell r="H138">
            <v>2.04</v>
          </cell>
          <cell r="I138">
            <v>2.16</v>
          </cell>
          <cell r="J138">
            <v>2.33</v>
          </cell>
          <cell r="K138">
            <v>2.42</v>
          </cell>
          <cell r="L138">
            <v>2.5099999999999998</v>
          </cell>
          <cell r="M138">
            <v>2.62</v>
          </cell>
          <cell r="N138">
            <v>2.7</v>
          </cell>
          <cell r="O138">
            <v>2.77</v>
          </cell>
          <cell r="P138">
            <v>2.86</v>
          </cell>
          <cell r="Q138">
            <v>3.02</v>
          </cell>
        </row>
        <row r="139">
          <cell r="A139" t="str">
            <v xml:space="preserve"> 6/30/55</v>
          </cell>
          <cell r="C139">
            <v>1.28</v>
          </cell>
          <cell r="D139">
            <v>1.49</v>
          </cell>
          <cell r="E139">
            <v>1.57</v>
          </cell>
          <cell r="F139">
            <v>1.72</v>
          </cell>
          <cell r="G139">
            <v>1.8</v>
          </cell>
          <cell r="H139">
            <v>2.11</v>
          </cell>
          <cell r="I139">
            <v>2.27</v>
          </cell>
          <cell r="J139">
            <v>2.44</v>
          </cell>
          <cell r="K139">
            <v>2.5299999999999998</v>
          </cell>
          <cell r="L139">
            <v>2.63</v>
          </cell>
          <cell r="M139">
            <v>2.75</v>
          </cell>
          <cell r="N139">
            <v>2.82</v>
          </cell>
          <cell r="O139">
            <v>2.86</v>
          </cell>
          <cell r="P139">
            <v>2.92</v>
          </cell>
          <cell r="Q139">
            <v>3.03</v>
          </cell>
        </row>
        <row r="140">
          <cell r="A140" t="str">
            <v xml:space="preserve"> 7/29/55</v>
          </cell>
          <cell r="C140">
            <v>1.71</v>
          </cell>
          <cell r="D140">
            <v>1.79</v>
          </cell>
          <cell r="E140">
            <v>1.78</v>
          </cell>
          <cell r="F140">
            <v>1.93</v>
          </cell>
          <cell r="G140">
            <v>2</v>
          </cell>
          <cell r="H140">
            <v>2.35</v>
          </cell>
          <cell r="I140">
            <v>2.52</v>
          </cell>
          <cell r="J140">
            <v>2.64</v>
          </cell>
          <cell r="K140">
            <v>2.7</v>
          </cell>
          <cell r="L140">
            <v>2.82</v>
          </cell>
          <cell r="M140">
            <v>2.95</v>
          </cell>
          <cell r="N140">
            <v>2.99</v>
          </cell>
          <cell r="O140">
            <v>2.99</v>
          </cell>
          <cell r="P140">
            <v>3.01</v>
          </cell>
          <cell r="Q140">
            <v>3.05</v>
          </cell>
        </row>
        <row r="141">
          <cell r="A141" t="str">
            <v xml:space="preserve"> 8/31/55</v>
          </cell>
          <cell r="C141">
            <v>1.98</v>
          </cell>
          <cell r="D141">
            <v>2.11</v>
          </cell>
          <cell r="E141">
            <v>1.97</v>
          </cell>
          <cell r="F141">
            <v>2.13</v>
          </cell>
          <cell r="G141">
            <v>2.21</v>
          </cell>
          <cell r="H141">
            <v>2.5</v>
          </cell>
          <cell r="I141">
            <v>2.65</v>
          </cell>
          <cell r="J141">
            <v>2.76</v>
          </cell>
          <cell r="K141">
            <v>2.82</v>
          </cell>
          <cell r="L141">
            <v>2.88</v>
          </cell>
          <cell r="M141">
            <v>2.94</v>
          </cell>
          <cell r="N141">
            <v>2.96</v>
          </cell>
          <cell r="O141">
            <v>2.95</v>
          </cell>
          <cell r="P141">
            <v>2.99</v>
          </cell>
          <cell r="Q141">
            <v>3.07</v>
          </cell>
        </row>
        <row r="142">
          <cell r="A142" t="str">
            <v xml:space="preserve"> 9/30/55</v>
          </cell>
          <cell r="C142">
            <v>2.13</v>
          </cell>
          <cell r="D142">
            <v>2.15</v>
          </cell>
          <cell r="E142">
            <v>2.09</v>
          </cell>
          <cell r="F142">
            <v>2.16</v>
          </cell>
          <cell r="G142">
            <v>2.2000000000000002</v>
          </cell>
          <cell r="H142">
            <v>2.35</v>
          </cell>
          <cell r="I142">
            <v>2.42</v>
          </cell>
          <cell r="J142">
            <v>2.6</v>
          </cell>
          <cell r="K142">
            <v>2.69</v>
          </cell>
          <cell r="L142">
            <v>2.76</v>
          </cell>
          <cell r="M142">
            <v>2.83</v>
          </cell>
          <cell r="N142">
            <v>2.87</v>
          </cell>
          <cell r="O142">
            <v>2.9</v>
          </cell>
          <cell r="P142">
            <v>2.95</v>
          </cell>
          <cell r="Q142">
            <v>3.04</v>
          </cell>
        </row>
        <row r="143">
          <cell r="A143" t="str">
            <v>10/31/55</v>
          </cell>
          <cell r="C143">
            <v>2.04</v>
          </cell>
          <cell r="D143">
            <v>2.08</v>
          </cell>
          <cell r="E143">
            <v>2.02</v>
          </cell>
          <cell r="F143">
            <v>2.1800000000000002</v>
          </cell>
          <cell r="G143">
            <v>2.27</v>
          </cell>
          <cell r="H143">
            <v>2.37</v>
          </cell>
          <cell r="I143">
            <v>2.42</v>
          </cell>
          <cell r="J143">
            <v>2.57</v>
          </cell>
          <cell r="K143">
            <v>2.64</v>
          </cell>
          <cell r="L143">
            <v>2.69</v>
          </cell>
          <cell r="M143">
            <v>2.73</v>
          </cell>
          <cell r="N143">
            <v>2.78</v>
          </cell>
          <cell r="O143">
            <v>2.83</v>
          </cell>
          <cell r="P143">
            <v>2.9</v>
          </cell>
          <cell r="Q143">
            <v>3.03</v>
          </cell>
        </row>
        <row r="144">
          <cell r="A144" t="str">
            <v>11/30/55</v>
          </cell>
          <cell r="C144">
            <v>2</v>
          </cell>
          <cell r="D144">
            <v>2.4300000000000002</v>
          </cell>
          <cell r="E144">
            <v>2.29</v>
          </cell>
          <cell r="F144">
            <v>2.4900000000000002</v>
          </cell>
          <cell r="G144">
            <v>2.58</v>
          </cell>
          <cell r="H144">
            <v>2.7</v>
          </cell>
          <cell r="I144">
            <v>2.76</v>
          </cell>
          <cell r="J144">
            <v>2.79</v>
          </cell>
          <cell r="K144">
            <v>2.81</v>
          </cell>
          <cell r="L144">
            <v>2.83</v>
          </cell>
          <cell r="M144">
            <v>2.85</v>
          </cell>
          <cell r="N144">
            <v>2.87</v>
          </cell>
          <cell r="O144">
            <v>2.89</v>
          </cell>
          <cell r="P144">
            <v>2.94</v>
          </cell>
          <cell r="Q144">
            <v>3.03</v>
          </cell>
        </row>
        <row r="145">
          <cell r="A145" t="str">
            <v>12/30/55</v>
          </cell>
          <cell r="C145">
            <v>2.42</v>
          </cell>
          <cell r="D145">
            <v>2.5099999999999998</v>
          </cell>
          <cell r="E145">
            <v>2.61</v>
          </cell>
          <cell r="F145">
            <v>2.66</v>
          </cell>
          <cell r="G145">
            <v>2.68</v>
          </cell>
          <cell r="H145">
            <v>2.78</v>
          </cell>
          <cell r="I145">
            <v>2.83</v>
          </cell>
          <cell r="J145">
            <v>2.86</v>
          </cell>
          <cell r="K145">
            <v>2.87</v>
          </cell>
          <cell r="L145">
            <v>2.88</v>
          </cell>
          <cell r="M145">
            <v>2.9</v>
          </cell>
          <cell r="N145">
            <v>2.91</v>
          </cell>
          <cell r="O145">
            <v>2.92</v>
          </cell>
          <cell r="P145">
            <v>2.95</v>
          </cell>
          <cell r="Q145">
            <v>3</v>
          </cell>
        </row>
        <row r="146">
          <cell r="A146" t="str">
            <v xml:space="preserve"> 1/31/56</v>
          </cell>
          <cell r="C146">
            <v>2.2799999999999998</v>
          </cell>
          <cell r="D146">
            <v>2.36</v>
          </cell>
          <cell r="E146">
            <v>2.35</v>
          </cell>
          <cell r="F146">
            <v>2.33</v>
          </cell>
          <cell r="G146">
            <v>2.31</v>
          </cell>
          <cell r="H146">
            <v>2.4900000000000002</v>
          </cell>
          <cell r="I146">
            <v>2.58</v>
          </cell>
          <cell r="J146">
            <v>2.65</v>
          </cell>
          <cell r="K146">
            <v>2.68</v>
          </cell>
          <cell r="L146">
            <v>2.72</v>
          </cell>
          <cell r="M146">
            <v>2.77</v>
          </cell>
          <cell r="N146">
            <v>2.81</v>
          </cell>
          <cell r="O146">
            <v>2.84</v>
          </cell>
          <cell r="P146">
            <v>2.9</v>
          </cell>
          <cell r="Q146">
            <v>3.01</v>
          </cell>
        </row>
        <row r="147">
          <cell r="A147" t="str">
            <v xml:space="preserve"> 2/29/56</v>
          </cell>
          <cell r="C147">
            <v>1.95</v>
          </cell>
          <cell r="D147">
            <v>2.3199999999999998</v>
          </cell>
          <cell r="E147">
            <v>2.31</v>
          </cell>
          <cell r="F147">
            <v>2.44</v>
          </cell>
          <cell r="G147">
            <v>2.5</v>
          </cell>
          <cell r="H147">
            <v>2.6</v>
          </cell>
          <cell r="I147">
            <v>2.65</v>
          </cell>
          <cell r="J147">
            <v>2.71</v>
          </cell>
          <cell r="K147">
            <v>2.74</v>
          </cell>
          <cell r="L147">
            <v>2.77</v>
          </cell>
          <cell r="M147">
            <v>2.8</v>
          </cell>
          <cell r="N147">
            <v>2.83</v>
          </cell>
          <cell r="O147">
            <v>2.87</v>
          </cell>
          <cell r="P147">
            <v>2.92</v>
          </cell>
          <cell r="Q147">
            <v>3.01</v>
          </cell>
        </row>
        <row r="148">
          <cell r="A148" t="str">
            <v xml:space="preserve"> 3/29/56</v>
          </cell>
          <cell r="C148">
            <v>2.21</v>
          </cell>
          <cell r="D148">
            <v>2.2599999999999998</v>
          </cell>
          <cell r="E148">
            <v>2.23</v>
          </cell>
          <cell r="F148">
            <v>2.52</v>
          </cell>
          <cell r="G148">
            <v>2.68</v>
          </cell>
          <cell r="H148">
            <v>2.86</v>
          </cell>
          <cell r="I148">
            <v>2.96</v>
          </cell>
          <cell r="J148">
            <v>2.99</v>
          </cell>
          <cell r="K148">
            <v>3.01</v>
          </cell>
          <cell r="L148">
            <v>3.04</v>
          </cell>
          <cell r="M148">
            <v>3.07</v>
          </cell>
          <cell r="N148">
            <v>3.06</v>
          </cell>
          <cell r="O148">
            <v>3.02</v>
          </cell>
          <cell r="P148">
            <v>3.03</v>
          </cell>
          <cell r="Q148">
            <v>3.05</v>
          </cell>
        </row>
        <row r="149">
          <cell r="A149" t="str">
            <v xml:space="preserve"> 4/30/56</v>
          </cell>
          <cell r="C149">
            <v>2.62</v>
          </cell>
          <cell r="D149">
            <v>2.69</v>
          </cell>
          <cell r="E149">
            <v>2.65</v>
          </cell>
          <cell r="F149">
            <v>2.91</v>
          </cell>
          <cell r="G149">
            <v>3.04</v>
          </cell>
          <cell r="H149">
            <v>3.21</v>
          </cell>
          <cell r="I149">
            <v>3.3</v>
          </cell>
          <cell r="J149">
            <v>3.22</v>
          </cell>
          <cell r="K149">
            <v>3.18</v>
          </cell>
          <cell r="L149">
            <v>3.16</v>
          </cell>
          <cell r="M149">
            <v>3.13</v>
          </cell>
          <cell r="N149">
            <v>3.09</v>
          </cell>
          <cell r="O149">
            <v>3.06</v>
          </cell>
          <cell r="P149">
            <v>3.07</v>
          </cell>
          <cell r="Q149">
            <v>3.12</v>
          </cell>
        </row>
        <row r="150">
          <cell r="A150" t="str">
            <v xml:space="preserve"> 5/31/56</v>
          </cell>
          <cell r="C150">
            <v>2.33</v>
          </cell>
          <cell r="D150">
            <v>2.5299999999999998</v>
          </cell>
          <cell r="E150">
            <v>2.5</v>
          </cell>
          <cell r="F150">
            <v>2.77</v>
          </cell>
          <cell r="G150">
            <v>2.91</v>
          </cell>
          <cell r="H150">
            <v>2.94</v>
          </cell>
          <cell r="I150">
            <v>2.96</v>
          </cell>
          <cell r="J150">
            <v>2.98</v>
          </cell>
          <cell r="K150">
            <v>2.99</v>
          </cell>
          <cell r="L150">
            <v>2.96</v>
          </cell>
          <cell r="M150">
            <v>2.93</v>
          </cell>
          <cell r="N150">
            <v>2.92</v>
          </cell>
          <cell r="O150">
            <v>2.91</v>
          </cell>
          <cell r="P150">
            <v>2.96</v>
          </cell>
          <cell r="Q150">
            <v>3.04</v>
          </cell>
        </row>
        <row r="151">
          <cell r="A151" t="str">
            <v xml:space="preserve"> 6/29/56</v>
          </cell>
          <cell r="C151">
            <v>2.3199999999999998</v>
          </cell>
          <cell r="D151">
            <v>2.4300000000000002</v>
          </cell>
          <cell r="E151">
            <v>2.41</v>
          </cell>
          <cell r="F151">
            <v>2.56</v>
          </cell>
          <cell r="G151">
            <v>2.64</v>
          </cell>
          <cell r="H151">
            <v>2.79</v>
          </cell>
          <cell r="I151">
            <v>2.87</v>
          </cell>
          <cell r="J151">
            <v>2.92</v>
          </cell>
          <cell r="K151">
            <v>2.94</v>
          </cell>
          <cell r="L151">
            <v>2.96</v>
          </cell>
          <cell r="M151">
            <v>2.99</v>
          </cell>
          <cell r="N151">
            <v>2.97</v>
          </cell>
          <cell r="O151">
            <v>2.94</v>
          </cell>
          <cell r="P151">
            <v>2.96</v>
          </cell>
          <cell r="Q151">
            <v>3.02</v>
          </cell>
        </row>
        <row r="152">
          <cell r="A152" t="str">
            <v xml:space="preserve"> 7/31/56</v>
          </cell>
          <cell r="C152">
            <v>2.0699999999999998</v>
          </cell>
          <cell r="D152">
            <v>2.37</v>
          </cell>
          <cell r="E152">
            <v>2.58</v>
          </cell>
          <cell r="F152">
            <v>2.79</v>
          </cell>
          <cell r="G152">
            <v>2.9</v>
          </cell>
          <cell r="H152">
            <v>3.1</v>
          </cell>
          <cell r="I152">
            <v>3.2</v>
          </cell>
          <cell r="J152">
            <v>3.23</v>
          </cell>
          <cell r="K152">
            <v>3.25</v>
          </cell>
          <cell r="L152">
            <v>3.25</v>
          </cell>
          <cell r="M152">
            <v>3.25</v>
          </cell>
          <cell r="N152">
            <v>3.18</v>
          </cell>
          <cell r="O152">
            <v>3.09</v>
          </cell>
          <cell r="P152">
            <v>3.1</v>
          </cell>
          <cell r="Q152">
            <v>3.13</v>
          </cell>
        </row>
        <row r="153">
          <cell r="A153" t="str">
            <v xml:space="preserve"> 8/31/56</v>
          </cell>
          <cell r="C153">
            <v>2.39</v>
          </cell>
          <cell r="D153">
            <v>2.69</v>
          </cell>
          <cell r="E153">
            <v>2.98</v>
          </cell>
          <cell r="F153">
            <v>3.12</v>
          </cell>
          <cell r="G153">
            <v>3.19</v>
          </cell>
          <cell r="H153">
            <v>3.38</v>
          </cell>
          <cell r="I153">
            <v>3.48</v>
          </cell>
          <cell r="J153">
            <v>3.54</v>
          </cell>
          <cell r="K153">
            <v>3.57</v>
          </cell>
          <cell r="L153">
            <v>3.52</v>
          </cell>
          <cell r="M153">
            <v>3.47</v>
          </cell>
          <cell r="N153">
            <v>3.38</v>
          </cell>
          <cell r="O153">
            <v>3.29</v>
          </cell>
          <cell r="P153">
            <v>3.25</v>
          </cell>
          <cell r="Q153">
            <v>3.19</v>
          </cell>
        </row>
        <row r="154">
          <cell r="A154" t="str">
            <v xml:space="preserve"> 9/28/56</v>
          </cell>
          <cell r="C154">
            <v>2.68</v>
          </cell>
          <cell r="D154">
            <v>2.92</v>
          </cell>
          <cell r="E154">
            <v>3.19</v>
          </cell>
          <cell r="F154">
            <v>3.23</v>
          </cell>
          <cell r="G154">
            <v>3.25</v>
          </cell>
          <cell r="H154">
            <v>3.43</v>
          </cell>
          <cell r="I154">
            <v>3.53</v>
          </cell>
          <cell r="J154">
            <v>3.52</v>
          </cell>
          <cell r="K154">
            <v>3.52</v>
          </cell>
          <cell r="L154">
            <v>3.45</v>
          </cell>
          <cell r="M154">
            <v>3.37</v>
          </cell>
          <cell r="N154">
            <v>3.3</v>
          </cell>
          <cell r="O154">
            <v>3.24</v>
          </cell>
          <cell r="P154">
            <v>3.22</v>
          </cell>
          <cell r="Q154">
            <v>3.21</v>
          </cell>
        </row>
        <row r="155">
          <cell r="A155" t="str">
            <v>10/31/56</v>
          </cell>
          <cell r="C155">
            <v>2.56</v>
          </cell>
          <cell r="D155">
            <v>2.9</v>
          </cell>
          <cell r="E155">
            <v>3</v>
          </cell>
          <cell r="F155">
            <v>3.15</v>
          </cell>
          <cell r="G155">
            <v>3.22</v>
          </cell>
          <cell r="H155">
            <v>3.37</v>
          </cell>
          <cell r="I155">
            <v>3.44</v>
          </cell>
          <cell r="J155">
            <v>3.49</v>
          </cell>
          <cell r="K155">
            <v>3.52</v>
          </cell>
          <cell r="L155">
            <v>3.5</v>
          </cell>
          <cell r="M155">
            <v>3.49</v>
          </cell>
          <cell r="N155">
            <v>3.41</v>
          </cell>
          <cell r="O155">
            <v>3.33</v>
          </cell>
          <cell r="P155">
            <v>3.29</v>
          </cell>
          <cell r="Q155">
            <v>3.24</v>
          </cell>
        </row>
        <row r="156">
          <cell r="A156" t="str">
            <v>11/30/56</v>
          </cell>
          <cell r="C156">
            <v>2.5299999999999998</v>
          </cell>
          <cell r="D156">
            <v>3.12</v>
          </cell>
          <cell r="E156">
            <v>3.19</v>
          </cell>
          <cell r="F156">
            <v>3.36</v>
          </cell>
          <cell r="G156">
            <v>3.44</v>
          </cell>
          <cell r="H156">
            <v>3.71</v>
          </cell>
          <cell r="I156">
            <v>3.85</v>
          </cell>
          <cell r="J156">
            <v>3.77</v>
          </cell>
          <cell r="K156">
            <v>3.73</v>
          </cell>
          <cell r="L156">
            <v>3.65</v>
          </cell>
          <cell r="M156">
            <v>3.56</v>
          </cell>
          <cell r="N156">
            <v>3.48</v>
          </cell>
          <cell r="O156">
            <v>3.42</v>
          </cell>
          <cell r="P156">
            <v>3.36</v>
          </cell>
          <cell r="Q156">
            <v>3.26</v>
          </cell>
        </row>
        <row r="157">
          <cell r="A157" t="str">
            <v>12/31/56</v>
          </cell>
          <cell r="C157">
            <v>3.06</v>
          </cell>
          <cell r="D157">
            <v>3.32</v>
          </cell>
          <cell r="E157">
            <v>3.26</v>
          </cell>
          <cell r="F157">
            <v>3.47</v>
          </cell>
          <cell r="G157">
            <v>3.57</v>
          </cell>
          <cell r="H157">
            <v>3.7</v>
          </cell>
          <cell r="I157">
            <v>3.76</v>
          </cell>
          <cell r="J157">
            <v>3.73</v>
          </cell>
          <cell r="K157">
            <v>3.72</v>
          </cell>
          <cell r="L157">
            <v>3.7</v>
          </cell>
          <cell r="M157">
            <v>3.67</v>
          </cell>
          <cell r="N157">
            <v>3.66</v>
          </cell>
          <cell r="O157">
            <v>3.65</v>
          </cell>
          <cell r="P157">
            <v>3.54</v>
          </cell>
          <cell r="Q157">
            <v>3.34</v>
          </cell>
        </row>
        <row r="158">
          <cell r="A158" t="str">
            <v xml:space="preserve"> 1/31/57</v>
          </cell>
          <cell r="C158">
            <v>3.05</v>
          </cell>
          <cell r="D158">
            <v>3.19</v>
          </cell>
          <cell r="E158">
            <v>3.1</v>
          </cell>
          <cell r="F158">
            <v>3.15</v>
          </cell>
          <cell r="G158">
            <v>3.17</v>
          </cell>
          <cell r="H158">
            <v>3.34</v>
          </cell>
          <cell r="I158">
            <v>3.42</v>
          </cell>
          <cell r="J158">
            <v>3.42</v>
          </cell>
          <cell r="K158">
            <v>3.42</v>
          </cell>
          <cell r="L158">
            <v>3.36</v>
          </cell>
          <cell r="M158">
            <v>3.31</v>
          </cell>
          <cell r="N158">
            <v>3.27</v>
          </cell>
          <cell r="O158">
            <v>3.25</v>
          </cell>
          <cell r="P158">
            <v>3.26</v>
          </cell>
          <cell r="Q158">
            <v>3.27</v>
          </cell>
        </row>
        <row r="159">
          <cell r="A159" t="str">
            <v xml:space="preserve"> 2/28/57</v>
          </cell>
          <cell r="C159">
            <v>2.88</v>
          </cell>
          <cell r="D159">
            <v>3.35</v>
          </cell>
          <cell r="E159">
            <v>3.2</v>
          </cell>
          <cell r="F159">
            <v>3.31</v>
          </cell>
          <cell r="G159">
            <v>3.37</v>
          </cell>
          <cell r="H159">
            <v>3.49</v>
          </cell>
          <cell r="I159">
            <v>3.56</v>
          </cell>
          <cell r="J159">
            <v>3.52</v>
          </cell>
          <cell r="K159">
            <v>3.5</v>
          </cell>
          <cell r="L159">
            <v>3.45</v>
          </cell>
          <cell r="M159">
            <v>3.39</v>
          </cell>
          <cell r="N159">
            <v>3.38</v>
          </cell>
          <cell r="O159">
            <v>3.38</v>
          </cell>
          <cell r="P159">
            <v>3.32</v>
          </cell>
          <cell r="Q159">
            <v>3.21</v>
          </cell>
        </row>
        <row r="160">
          <cell r="A160" t="str">
            <v xml:space="preserve"> 3/29/57</v>
          </cell>
          <cell r="C160">
            <v>2.84</v>
          </cell>
          <cell r="D160">
            <v>3.08</v>
          </cell>
          <cell r="E160">
            <v>3.02</v>
          </cell>
          <cell r="F160">
            <v>3.26</v>
          </cell>
          <cell r="G160">
            <v>3.39</v>
          </cell>
          <cell r="H160">
            <v>3.44</v>
          </cell>
          <cell r="I160">
            <v>3.47</v>
          </cell>
          <cell r="J160">
            <v>3.49</v>
          </cell>
          <cell r="K160">
            <v>3.51</v>
          </cell>
          <cell r="L160">
            <v>3.46</v>
          </cell>
          <cell r="M160">
            <v>3.4</v>
          </cell>
          <cell r="N160">
            <v>3.35</v>
          </cell>
          <cell r="O160">
            <v>3.31</v>
          </cell>
          <cell r="P160">
            <v>3.29</v>
          </cell>
          <cell r="Q160">
            <v>3.28</v>
          </cell>
        </row>
        <row r="161">
          <cell r="A161" t="str">
            <v xml:space="preserve"> 4/30/57</v>
          </cell>
          <cell r="C161">
            <v>3.06</v>
          </cell>
          <cell r="D161">
            <v>3.09</v>
          </cell>
          <cell r="E161">
            <v>3.07</v>
          </cell>
          <cell r="F161">
            <v>3.39</v>
          </cell>
          <cell r="G161">
            <v>3.55</v>
          </cell>
          <cell r="H161">
            <v>3.57</v>
          </cell>
          <cell r="I161">
            <v>3.58</v>
          </cell>
          <cell r="J161">
            <v>3.63</v>
          </cell>
          <cell r="K161">
            <v>3.66</v>
          </cell>
          <cell r="L161">
            <v>3.65</v>
          </cell>
          <cell r="M161">
            <v>3.64</v>
          </cell>
          <cell r="N161">
            <v>3.56</v>
          </cell>
          <cell r="O161">
            <v>3.45</v>
          </cell>
          <cell r="P161">
            <v>3.43</v>
          </cell>
          <cell r="Q161">
            <v>3.41</v>
          </cell>
        </row>
        <row r="162">
          <cell r="A162" t="str">
            <v xml:space="preserve"> 5/31/57</v>
          </cell>
          <cell r="C162">
            <v>3.15</v>
          </cell>
          <cell r="D162">
            <v>3.34</v>
          </cell>
          <cell r="E162">
            <v>3.26</v>
          </cell>
          <cell r="F162">
            <v>3.47</v>
          </cell>
          <cell r="G162">
            <v>3.58</v>
          </cell>
          <cell r="H162">
            <v>3.63</v>
          </cell>
          <cell r="I162">
            <v>3.65</v>
          </cell>
          <cell r="J162">
            <v>3.73</v>
          </cell>
          <cell r="K162">
            <v>3.77</v>
          </cell>
          <cell r="L162">
            <v>3.78</v>
          </cell>
          <cell r="M162">
            <v>3.79</v>
          </cell>
          <cell r="N162">
            <v>3.72</v>
          </cell>
          <cell r="O162">
            <v>3.62</v>
          </cell>
          <cell r="P162">
            <v>3.52</v>
          </cell>
          <cell r="Q162">
            <v>3.37</v>
          </cell>
        </row>
        <row r="163">
          <cell r="A163" t="str">
            <v xml:space="preserve"> 6/27/57</v>
          </cell>
          <cell r="C163">
            <v>3</v>
          </cell>
          <cell r="D163">
            <v>3.35</v>
          </cell>
          <cell r="E163">
            <v>3.67</v>
          </cell>
          <cell r="F163">
            <v>3.68</v>
          </cell>
          <cell r="G163">
            <v>3.68</v>
          </cell>
          <cell r="H163">
            <v>3.84</v>
          </cell>
          <cell r="I163">
            <v>3.92</v>
          </cell>
          <cell r="J163">
            <v>3.93</v>
          </cell>
          <cell r="K163">
            <v>3.94</v>
          </cell>
          <cell r="L163">
            <v>4</v>
          </cell>
          <cell r="M163">
            <v>4.07</v>
          </cell>
          <cell r="N163">
            <v>3.98</v>
          </cell>
          <cell r="O163">
            <v>3.81</v>
          </cell>
          <cell r="P163">
            <v>3.68</v>
          </cell>
          <cell r="Q163">
            <v>3.48</v>
          </cell>
        </row>
        <row r="164">
          <cell r="A164" t="str">
            <v xml:space="preserve"> 7/31/57</v>
          </cell>
          <cell r="C164">
            <v>3.08</v>
          </cell>
          <cell r="D164">
            <v>3.4</v>
          </cell>
          <cell r="E164">
            <v>3.58</v>
          </cell>
          <cell r="F164">
            <v>3.8</v>
          </cell>
          <cell r="G164">
            <v>3.91</v>
          </cell>
          <cell r="H164">
            <v>3.92</v>
          </cell>
          <cell r="I164">
            <v>3.93</v>
          </cell>
          <cell r="J164">
            <v>4</v>
          </cell>
          <cell r="K164">
            <v>4.04</v>
          </cell>
          <cell r="L164">
            <v>4.07</v>
          </cell>
          <cell r="M164">
            <v>4.0999999999999996</v>
          </cell>
          <cell r="N164">
            <v>3.94</v>
          </cell>
          <cell r="O164">
            <v>3.72</v>
          </cell>
          <cell r="P164">
            <v>3.64</v>
          </cell>
          <cell r="Q164">
            <v>3.53</v>
          </cell>
        </row>
        <row r="165">
          <cell r="A165" t="str">
            <v xml:space="preserve"> 8/30/57</v>
          </cell>
          <cell r="C165">
            <v>3.06</v>
          </cell>
          <cell r="D165">
            <v>3.55</v>
          </cell>
          <cell r="E165">
            <v>4.0999999999999996</v>
          </cell>
          <cell r="F165">
            <v>4.0199999999999996</v>
          </cell>
          <cell r="G165">
            <v>3.98</v>
          </cell>
          <cell r="H165">
            <v>4.04</v>
          </cell>
          <cell r="I165">
            <v>4.07</v>
          </cell>
          <cell r="J165">
            <v>4.01</v>
          </cell>
          <cell r="K165">
            <v>3.98</v>
          </cell>
          <cell r="L165">
            <v>3.96</v>
          </cell>
          <cell r="M165">
            <v>3.93</v>
          </cell>
          <cell r="N165">
            <v>3.84</v>
          </cell>
          <cell r="O165">
            <v>3.72</v>
          </cell>
          <cell r="P165">
            <v>3.66</v>
          </cell>
          <cell r="Q165">
            <v>3.57</v>
          </cell>
        </row>
        <row r="166">
          <cell r="A166" t="str">
            <v xml:space="preserve"> 9/30/57</v>
          </cell>
          <cell r="C166">
            <v>3.07</v>
          </cell>
          <cell r="D166">
            <v>3.55</v>
          </cell>
          <cell r="E166">
            <v>4.04</v>
          </cell>
          <cell r="F166">
            <v>4.1399999999999997</v>
          </cell>
          <cell r="G166">
            <v>4.1900000000000004</v>
          </cell>
          <cell r="H166">
            <v>4.0999999999999996</v>
          </cell>
          <cell r="I166">
            <v>4.0599999999999996</v>
          </cell>
          <cell r="J166">
            <v>4.0999999999999996</v>
          </cell>
          <cell r="K166">
            <v>4.12</v>
          </cell>
          <cell r="L166">
            <v>4.05</v>
          </cell>
          <cell r="M166">
            <v>3.96</v>
          </cell>
          <cell r="N166">
            <v>3.92</v>
          </cell>
          <cell r="O166">
            <v>3.89</v>
          </cell>
          <cell r="P166">
            <v>3.73</v>
          </cell>
          <cell r="Q166">
            <v>3.44</v>
          </cell>
        </row>
        <row r="167">
          <cell r="A167" t="str">
            <v>10/31/57</v>
          </cell>
          <cell r="C167">
            <v>3.34</v>
          </cell>
          <cell r="D167">
            <v>3.7</v>
          </cell>
          <cell r="E167">
            <v>3.83</v>
          </cell>
          <cell r="F167">
            <v>3.94</v>
          </cell>
          <cell r="G167">
            <v>3.99</v>
          </cell>
          <cell r="H167">
            <v>3.99</v>
          </cell>
          <cell r="I167">
            <v>3.99</v>
          </cell>
          <cell r="J167">
            <v>4.0999999999999996</v>
          </cell>
          <cell r="K167">
            <v>4.16</v>
          </cell>
          <cell r="L167">
            <v>4.03</v>
          </cell>
          <cell r="M167">
            <v>3.89</v>
          </cell>
          <cell r="N167">
            <v>3.88</v>
          </cell>
          <cell r="O167">
            <v>3.92</v>
          </cell>
          <cell r="P167">
            <v>3.78</v>
          </cell>
          <cell r="Q167">
            <v>3.5</v>
          </cell>
        </row>
        <row r="168">
          <cell r="A168" t="str">
            <v>11/29/57</v>
          </cell>
          <cell r="C168">
            <v>2.5299999999999998</v>
          </cell>
          <cell r="D168">
            <v>3.17</v>
          </cell>
          <cell r="E168">
            <v>3.28</v>
          </cell>
          <cell r="F168">
            <v>3.38</v>
          </cell>
          <cell r="G168">
            <v>3.43</v>
          </cell>
          <cell r="H168">
            <v>3.28</v>
          </cell>
          <cell r="I168">
            <v>3.21</v>
          </cell>
          <cell r="J168">
            <v>3.33</v>
          </cell>
          <cell r="K168">
            <v>3.39</v>
          </cell>
          <cell r="L168">
            <v>3.26</v>
          </cell>
          <cell r="M168">
            <v>3.12</v>
          </cell>
          <cell r="N168">
            <v>3.27</v>
          </cell>
          <cell r="O168">
            <v>3.52</v>
          </cell>
          <cell r="P168">
            <v>3.49</v>
          </cell>
          <cell r="Q168">
            <v>3.36</v>
          </cell>
        </row>
        <row r="169">
          <cell r="A169" t="str">
            <v>12/31/57</v>
          </cell>
          <cell r="C169">
            <v>2.71</v>
          </cell>
          <cell r="D169">
            <v>2.8</v>
          </cell>
          <cell r="E169">
            <v>2.92</v>
          </cell>
          <cell r="F169">
            <v>2.85</v>
          </cell>
          <cell r="G169">
            <v>2.81</v>
          </cell>
          <cell r="H169">
            <v>2.77</v>
          </cell>
          <cell r="I169">
            <v>2.75</v>
          </cell>
          <cell r="J169">
            <v>2.79</v>
          </cell>
          <cell r="K169">
            <v>2.81</v>
          </cell>
          <cell r="L169">
            <v>2.83</v>
          </cell>
          <cell r="M169">
            <v>2.85</v>
          </cell>
          <cell r="N169">
            <v>3.02</v>
          </cell>
          <cell r="O169">
            <v>3.24</v>
          </cell>
          <cell r="P169">
            <v>3.26</v>
          </cell>
          <cell r="Q169">
            <v>3.25</v>
          </cell>
        </row>
        <row r="170">
          <cell r="A170" t="str">
            <v xml:space="preserve"> 1/31/58</v>
          </cell>
          <cell r="C170">
            <v>1.5</v>
          </cell>
          <cell r="D170">
            <v>1.47</v>
          </cell>
          <cell r="E170">
            <v>1.89</v>
          </cell>
          <cell r="F170">
            <v>2.0299999999999998</v>
          </cell>
          <cell r="G170">
            <v>2.1</v>
          </cell>
          <cell r="H170">
            <v>2.29</v>
          </cell>
          <cell r="I170">
            <v>2.38</v>
          </cell>
          <cell r="J170">
            <v>2.65</v>
          </cell>
          <cell r="K170">
            <v>2.79</v>
          </cell>
          <cell r="L170">
            <v>2.82</v>
          </cell>
          <cell r="M170">
            <v>2.86</v>
          </cell>
          <cell r="N170">
            <v>3.05</v>
          </cell>
          <cell r="O170">
            <v>3.29</v>
          </cell>
          <cell r="P170">
            <v>3.35</v>
          </cell>
          <cell r="Q170">
            <v>3.38</v>
          </cell>
        </row>
        <row r="171">
          <cell r="A171" t="str">
            <v xml:space="preserve"> 2/28/58</v>
          </cell>
          <cell r="C171">
            <v>1.1100000000000001</v>
          </cell>
          <cell r="D171">
            <v>1.27</v>
          </cell>
          <cell r="E171">
            <v>1.34</v>
          </cell>
          <cell r="F171">
            <v>1.59</v>
          </cell>
          <cell r="G171">
            <v>1.72</v>
          </cell>
          <cell r="H171">
            <v>1.88</v>
          </cell>
          <cell r="I171">
            <v>1.95</v>
          </cell>
          <cell r="J171">
            <v>2.33</v>
          </cell>
          <cell r="K171">
            <v>2.52</v>
          </cell>
          <cell r="L171">
            <v>2.6</v>
          </cell>
          <cell r="M171">
            <v>2.69</v>
          </cell>
          <cell r="N171">
            <v>2.92</v>
          </cell>
          <cell r="O171">
            <v>3.18</v>
          </cell>
          <cell r="P171">
            <v>3.29</v>
          </cell>
          <cell r="Q171">
            <v>3.43</v>
          </cell>
        </row>
        <row r="172">
          <cell r="A172" t="str">
            <v xml:space="preserve"> 3/31/58</v>
          </cell>
          <cell r="C172">
            <v>0.99</v>
          </cell>
          <cell r="D172">
            <v>1.18</v>
          </cell>
          <cell r="E172">
            <v>1.33</v>
          </cell>
          <cell r="F172">
            <v>1.53</v>
          </cell>
          <cell r="G172">
            <v>1.63</v>
          </cell>
          <cell r="H172">
            <v>1.82</v>
          </cell>
          <cell r="I172">
            <v>1.91</v>
          </cell>
          <cell r="J172">
            <v>2.2599999999999998</v>
          </cell>
          <cell r="K172">
            <v>2.44</v>
          </cell>
          <cell r="L172">
            <v>2.54</v>
          </cell>
          <cell r="M172">
            <v>2.65</v>
          </cell>
          <cell r="N172">
            <v>2.86</v>
          </cell>
          <cell r="O172">
            <v>3.1</v>
          </cell>
          <cell r="P172">
            <v>3.23</v>
          </cell>
          <cell r="Q172">
            <v>3.41</v>
          </cell>
        </row>
        <row r="173">
          <cell r="A173" t="str">
            <v xml:space="preserve"> 4/30/58</v>
          </cell>
          <cell r="C173">
            <v>1.1599999999999999</v>
          </cell>
          <cell r="D173">
            <v>1.17</v>
          </cell>
          <cell r="E173">
            <v>0.99</v>
          </cell>
          <cell r="F173">
            <v>1.25</v>
          </cell>
          <cell r="G173">
            <v>1.38</v>
          </cell>
          <cell r="H173">
            <v>1.52</v>
          </cell>
          <cell r="I173">
            <v>1.59</v>
          </cell>
          <cell r="J173">
            <v>2.0499999999999998</v>
          </cell>
          <cell r="K173">
            <v>2.2799999999999998</v>
          </cell>
          <cell r="L173">
            <v>2.41</v>
          </cell>
          <cell r="M173">
            <v>2.5499999999999998</v>
          </cell>
          <cell r="N173">
            <v>2.82</v>
          </cell>
          <cell r="O173">
            <v>3.12</v>
          </cell>
          <cell r="P173">
            <v>3.19</v>
          </cell>
          <cell r="Q173">
            <v>3.26</v>
          </cell>
        </row>
        <row r="174">
          <cell r="A174" t="str">
            <v xml:space="preserve"> 5/29/58</v>
          </cell>
          <cell r="C174">
            <v>0.32</v>
          </cell>
          <cell r="D174">
            <v>0.45</v>
          </cell>
          <cell r="E174">
            <v>0.44</v>
          </cell>
          <cell r="F174">
            <v>1.39</v>
          </cell>
          <cell r="G174">
            <v>1.89</v>
          </cell>
          <cell r="H174">
            <v>1.64</v>
          </cell>
          <cell r="I174">
            <v>1.51</v>
          </cell>
          <cell r="J174">
            <v>1.97</v>
          </cell>
          <cell r="K174">
            <v>2.2000000000000002</v>
          </cell>
          <cell r="L174">
            <v>2.35</v>
          </cell>
          <cell r="M174">
            <v>2.52</v>
          </cell>
          <cell r="N174">
            <v>2.81</v>
          </cell>
          <cell r="O174">
            <v>3.13</v>
          </cell>
          <cell r="P174">
            <v>3.18</v>
          </cell>
          <cell r="Q174">
            <v>3.21</v>
          </cell>
        </row>
        <row r="175">
          <cell r="A175" t="str">
            <v xml:space="preserve"> 6/30/58</v>
          </cell>
          <cell r="C175">
            <v>0.69</v>
          </cell>
          <cell r="D175">
            <v>0.79</v>
          </cell>
          <cell r="E175">
            <v>1.17</v>
          </cell>
          <cell r="F175">
            <v>1.08</v>
          </cell>
          <cell r="G175">
            <v>1.03</v>
          </cell>
          <cell r="H175">
            <v>1.43</v>
          </cell>
          <cell r="I175">
            <v>1.64</v>
          </cell>
          <cell r="J175">
            <v>2.2000000000000002</v>
          </cell>
          <cell r="K175">
            <v>2.4900000000000002</v>
          </cell>
          <cell r="L175">
            <v>2.6</v>
          </cell>
          <cell r="M175">
            <v>2.72</v>
          </cell>
          <cell r="N175">
            <v>3</v>
          </cell>
          <cell r="O175">
            <v>3.31</v>
          </cell>
          <cell r="P175">
            <v>3.33</v>
          </cell>
          <cell r="Q175">
            <v>3.29</v>
          </cell>
        </row>
        <row r="176">
          <cell r="A176" t="str">
            <v xml:space="preserve"> 7/31/58</v>
          </cell>
          <cell r="C176">
            <v>0.7</v>
          </cell>
          <cell r="D176">
            <v>0.88</v>
          </cell>
          <cell r="E176">
            <v>1.33</v>
          </cell>
          <cell r="F176">
            <v>1.45</v>
          </cell>
          <cell r="G176">
            <v>1.51</v>
          </cell>
          <cell r="H176">
            <v>1.76</v>
          </cell>
          <cell r="I176">
            <v>1.88</v>
          </cell>
          <cell r="J176">
            <v>2.46</v>
          </cell>
          <cell r="K176">
            <v>2.75</v>
          </cell>
          <cell r="L176">
            <v>2.86</v>
          </cell>
          <cell r="M176">
            <v>2.99</v>
          </cell>
          <cell r="N176">
            <v>3.2</v>
          </cell>
          <cell r="O176">
            <v>3.44</v>
          </cell>
          <cell r="P176">
            <v>3.47</v>
          </cell>
          <cell r="Q176">
            <v>3.49</v>
          </cell>
        </row>
        <row r="177">
          <cell r="A177" t="str">
            <v xml:space="preserve"> 8/29/58</v>
          </cell>
          <cell r="C177">
            <v>1.78</v>
          </cell>
          <cell r="D177">
            <v>2.36</v>
          </cell>
          <cell r="E177">
            <v>2.65</v>
          </cell>
          <cell r="F177">
            <v>2.75</v>
          </cell>
          <cell r="G177">
            <v>2.8</v>
          </cell>
          <cell r="H177">
            <v>3.14</v>
          </cell>
          <cell r="I177">
            <v>3.31</v>
          </cell>
          <cell r="J177">
            <v>3.57</v>
          </cell>
          <cell r="K177">
            <v>3.7</v>
          </cell>
          <cell r="L177">
            <v>3.71</v>
          </cell>
          <cell r="M177">
            <v>3.72</v>
          </cell>
          <cell r="N177">
            <v>3.77</v>
          </cell>
          <cell r="O177">
            <v>3.83</v>
          </cell>
          <cell r="P177">
            <v>3.76</v>
          </cell>
          <cell r="Q177">
            <v>3.6</v>
          </cell>
        </row>
        <row r="178">
          <cell r="A178" t="str">
            <v xml:space="preserve"> 9/30/58</v>
          </cell>
          <cell r="C178">
            <v>1.77</v>
          </cell>
          <cell r="D178">
            <v>2.82</v>
          </cell>
          <cell r="E178">
            <v>3.25</v>
          </cell>
          <cell r="F178">
            <v>3.11</v>
          </cell>
          <cell r="G178">
            <v>3.05</v>
          </cell>
          <cell r="H178">
            <v>3.32</v>
          </cell>
          <cell r="I178">
            <v>3.46</v>
          </cell>
          <cell r="J178">
            <v>3.7</v>
          </cell>
          <cell r="K178">
            <v>3.82</v>
          </cell>
          <cell r="L178">
            <v>3.81</v>
          </cell>
          <cell r="M178">
            <v>3.79</v>
          </cell>
          <cell r="N178">
            <v>3.82</v>
          </cell>
          <cell r="O178">
            <v>3.87</v>
          </cell>
          <cell r="P178">
            <v>3.82</v>
          </cell>
          <cell r="Q178">
            <v>3.72</v>
          </cell>
        </row>
        <row r="179">
          <cell r="A179" t="str">
            <v>10/31/58</v>
          </cell>
          <cell r="C179">
            <v>1.62</v>
          </cell>
          <cell r="D179">
            <v>2.59</v>
          </cell>
          <cell r="E179">
            <v>2.73</v>
          </cell>
          <cell r="F179">
            <v>2.83</v>
          </cell>
          <cell r="G179">
            <v>2.88</v>
          </cell>
          <cell r="H179">
            <v>3.26</v>
          </cell>
          <cell r="I179">
            <v>3.45</v>
          </cell>
          <cell r="J179">
            <v>3.7</v>
          </cell>
          <cell r="K179">
            <v>3.82</v>
          </cell>
          <cell r="L179">
            <v>3.82</v>
          </cell>
          <cell r="M179">
            <v>3.82</v>
          </cell>
          <cell r="N179">
            <v>3.83</v>
          </cell>
          <cell r="O179">
            <v>3.84</v>
          </cell>
          <cell r="P179">
            <v>3.81</v>
          </cell>
          <cell r="Q179">
            <v>3.78</v>
          </cell>
        </row>
        <row r="180">
          <cell r="A180" t="str">
            <v>11/28/58</v>
          </cell>
          <cell r="C180">
            <v>1.97</v>
          </cell>
          <cell r="D180">
            <v>2.71</v>
          </cell>
          <cell r="E180">
            <v>2.92</v>
          </cell>
          <cell r="F180">
            <v>3.08</v>
          </cell>
          <cell r="G180">
            <v>3.17</v>
          </cell>
          <cell r="H180">
            <v>3.31</v>
          </cell>
          <cell r="I180">
            <v>3.38</v>
          </cell>
          <cell r="J180">
            <v>3.58</v>
          </cell>
          <cell r="K180">
            <v>3.67</v>
          </cell>
          <cell r="L180">
            <v>3.66</v>
          </cell>
          <cell r="M180">
            <v>3.64</v>
          </cell>
          <cell r="N180">
            <v>3.67</v>
          </cell>
          <cell r="O180">
            <v>3.73</v>
          </cell>
          <cell r="P180">
            <v>3.74</v>
          </cell>
          <cell r="Q180">
            <v>3.75</v>
          </cell>
        </row>
        <row r="181">
          <cell r="A181" t="str">
            <v>12/31/58</v>
          </cell>
          <cell r="C181">
            <v>2.36</v>
          </cell>
          <cell r="D181">
            <v>2.73</v>
          </cell>
          <cell r="E181">
            <v>2.97</v>
          </cell>
          <cell r="F181">
            <v>2.96</v>
          </cell>
          <cell r="G181">
            <v>2.96</v>
          </cell>
          <cell r="H181">
            <v>3.26</v>
          </cell>
          <cell r="I181">
            <v>3.41</v>
          </cell>
          <cell r="J181">
            <v>3.71</v>
          </cell>
          <cell r="K181">
            <v>3.85</v>
          </cell>
          <cell r="L181">
            <v>3.92</v>
          </cell>
          <cell r="M181">
            <v>4</v>
          </cell>
          <cell r="N181">
            <v>3.98</v>
          </cell>
          <cell r="O181">
            <v>3.92</v>
          </cell>
          <cell r="P181">
            <v>3.88</v>
          </cell>
          <cell r="Q181">
            <v>3.85</v>
          </cell>
        </row>
        <row r="182">
          <cell r="A182" t="str">
            <v xml:space="preserve"> 1/30/59</v>
          </cell>
          <cell r="C182">
            <v>2.4300000000000002</v>
          </cell>
          <cell r="D182">
            <v>2.73</v>
          </cell>
          <cell r="E182">
            <v>3.1</v>
          </cell>
          <cell r="F182">
            <v>3.36</v>
          </cell>
          <cell r="G182">
            <v>3.5</v>
          </cell>
          <cell r="H182">
            <v>3.64</v>
          </cell>
          <cell r="I182">
            <v>3.71</v>
          </cell>
          <cell r="J182">
            <v>3.95</v>
          </cell>
          <cell r="K182">
            <v>4.07</v>
          </cell>
          <cell r="L182">
            <v>4.05</v>
          </cell>
          <cell r="M182">
            <v>4.03</v>
          </cell>
          <cell r="N182">
            <v>4.03</v>
          </cell>
          <cell r="O182">
            <v>4.03</v>
          </cell>
          <cell r="P182">
            <v>4</v>
          </cell>
          <cell r="Q182">
            <v>3.95</v>
          </cell>
        </row>
        <row r="183">
          <cell r="A183" t="str">
            <v xml:space="preserve"> 2/27/59</v>
          </cell>
          <cell r="C183">
            <v>2.33</v>
          </cell>
          <cell r="D183">
            <v>2.84</v>
          </cell>
          <cell r="E183">
            <v>3.05</v>
          </cell>
          <cell r="F183">
            <v>3.31</v>
          </cell>
          <cell r="G183">
            <v>3.43</v>
          </cell>
          <cell r="H183">
            <v>3.6</v>
          </cell>
          <cell r="I183">
            <v>3.68</v>
          </cell>
          <cell r="J183">
            <v>3.81</v>
          </cell>
          <cell r="K183">
            <v>3.87</v>
          </cell>
          <cell r="L183">
            <v>3.87</v>
          </cell>
          <cell r="M183">
            <v>3.87</v>
          </cell>
          <cell r="N183">
            <v>3.9</v>
          </cell>
          <cell r="O183">
            <v>3.93</v>
          </cell>
          <cell r="P183">
            <v>3.96</v>
          </cell>
          <cell r="Q183">
            <v>3.99</v>
          </cell>
        </row>
        <row r="184">
          <cell r="A184" t="str">
            <v xml:space="preserve"> 3/31/59</v>
          </cell>
          <cell r="C184">
            <v>2.38</v>
          </cell>
          <cell r="D184">
            <v>2.81</v>
          </cell>
          <cell r="E184">
            <v>3.25</v>
          </cell>
          <cell r="F184">
            <v>3.49</v>
          </cell>
          <cell r="G184">
            <v>3.61</v>
          </cell>
          <cell r="H184">
            <v>3.78</v>
          </cell>
          <cell r="I184">
            <v>3.86</v>
          </cell>
          <cell r="J184">
            <v>4.01</v>
          </cell>
          <cell r="K184">
            <v>4.09</v>
          </cell>
          <cell r="L184">
            <v>4.07</v>
          </cell>
          <cell r="M184">
            <v>4.0599999999999996</v>
          </cell>
          <cell r="N184">
            <v>4.04</v>
          </cell>
          <cell r="O184">
            <v>4.0199999999999996</v>
          </cell>
          <cell r="P184">
            <v>4.01</v>
          </cell>
          <cell r="Q184">
            <v>3.99</v>
          </cell>
        </row>
        <row r="185">
          <cell r="A185" t="str">
            <v xml:space="preserve"> 4/30/59</v>
          </cell>
          <cell r="C185">
            <v>2.7</v>
          </cell>
          <cell r="D185">
            <v>2.85</v>
          </cell>
          <cell r="E185">
            <v>3.29</v>
          </cell>
          <cell r="F185">
            <v>3.66</v>
          </cell>
          <cell r="G185">
            <v>3.85</v>
          </cell>
          <cell r="H185">
            <v>3.91</v>
          </cell>
          <cell r="I185">
            <v>3.94</v>
          </cell>
          <cell r="J185">
            <v>4.16</v>
          </cell>
          <cell r="K185">
            <v>4.2699999999999996</v>
          </cell>
          <cell r="L185">
            <v>4.3099999999999996</v>
          </cell>
          <cell r="M185">
            <v>4.3600000000000003</v>
          </cell>
          <cell r="N185">
            <v>4.3</v>
          </cell>
          <cell r="O185">
            <v>4.1900000000000004</v>
          </cell>
          <cell r="P185">
            <v>4.0999999999999996</v>
          </cell>
          <cell r="Q185">
            <v>3.99</v>
          </cell>
        </row>
        <row r="186">
          <cell r="A186" t="str">
            <v xml:space="preserve"> 5/29/59</v>
          </cell>
          <cell r="C186">
            <v>2.67</v>
          </cell>
          <cell r="D186">
            <v>2.97</v>
          </cell>
          <cell r="E186">
            <v>3.5</v>
          </cell>
          <cell r="F186">
            <v>3.83</v>
          </cell>
          <cell r="G186">
            <v>4</v>
          </cell>
          <cell r="H186">
            <v>4.04</v>
          </cell>
          <cell r="I186">
            <v>4.0599999999999996</v>
          </cell>
          <cell r="J186">
            <v>4.2699999999999996</v>
          </cell>
          <cell r="K186">
            <v>4.38</v>
          </cell>
          <cell r="L186">
            <v>4.3899999999999997</v>
          </cell>
          <cell r="M186">
            <v>4.4000000000000004</v>
          </cell>
          <cell r="N186">
            <v>4.32</v>
          </cell>
          <cell r="O186">
            <v>4.22</v>
          </cell>
          <cell r="P186">
            <v>4.13</v>
          </cell>
          <cell r="Q186">
            <v>4.0199999999999996</v>
          </cell>
        </row>
        <row r="187">
          <cell r="A187" t="str">
            <v xml:space="preserve"> 6/30/59</v>
          </cell>
          <cell r="C187">
            <v>2.7</v>
          </cell>
          <cell r="D187">
            <v>3</v>
          </cell>
          <cell r="E187">
            <v>3.75</v>
          </cell>
          <cell r="F187">
            <v>3.99</v>
          </cell>
          <cell r="G187">
            <v>4.0999999999999996</v>
          </cell>
          <cell r="H187">
            <v>4.25</v>
          </cell>
          <cell r="I187">
            <v>4.32</v>
          </cell>
          <cell r="J187">
            <v>4.54</v>
          </cell>
          <cell r="K187">
            <v>4.6500000000000004</v>
          </cell>
          <cell r="L187">
            <v>4.58</v>
          </cell>
          <cell r="M187">
            <v>4.5</v>
          </cell>
          <cell r="N187">
            <v>4.3899999999999997</v>
          </cell>
          <cell r="O187">
            <v>4.28</v>
          </cell>
          <cell r="P187">
            <v>4.12</v>
          </cell>
          <cell r="Q187">
            <v>3.86</v>
          </cell>
        </row>
        <row r="188">
          <cell r="A188" t="str">
            <v xml:space="preserve"> 7/31/59</v>
          </cell>
          <cell r="C188">
            <v>2.2599999999999998</v>
          </cell>
          <cell r="D188">
            <v>2.95</v>
          </cell>
          <cell r="E188">
            <v>3.79</v>
          </cell>
          <cell r="F188">
            <v>4.13</v>
          </cell>
          <cell r="G188">
            <v>4.3</v>
          </cell>
          <cell r="H188">
            <v>4.3499999999999996</v>
          </cell>
          <cell r="I188">
            <v>4.37</v>
          </cell>
          <cell r="J188">
            <v>4.53</v>
          </cell>
          <cell r="K188">
            <v>4.62</v>
          </cell>
          <cell r="L188">
            <v>4.58</v>
          </cell>
          <cell r="M188">
            <v>4.54</v>
          </cell>
          <cell r="N188">
            <v>4.43</v>
          </cell>
          <cell r="O188">
            <v>4.3</v>
          </cell>
          <cell r="P188">
            <v>4.09</v>
          </cell>
          <cell r="Q188">
            <v>3.77</v>
          </cell>
        </row>
        <row r="189">
          <cell r="A189" t="str">
            <v xml:space="preserve"> 8/31/59</v>
          </cell>
          <cell r="C189">
            <v>3.44</v>
          </cell>
          <cell r="D189">
            <v>3.75</v>
          </cell>
          <cell r="E189">
            <v>4.53</v>
          </cell>
          <cell r="F189">
            <v>4.5599999999999996</v>
          </cell>
          <cell r="G189">
            <v>4.57</v>
          </cell>
          <cell r="H189">
            <v>4.7</v>
          </cell>
          <cell r="I189">
            <v>4.76</v>
          </cell>
          <cell r="J189">
            <v>4.83</v>
          </cell>
          <cell r="K189">
            <v>4.8600000000000003</v>
          </cell>
          <cell r="L189">
            <v>4.84</v>
          </cell>
          <cell r="M189">
            <v>4.82</v>
          </cell>
          <cell r="N189">
            <v>4.6399999999999997</v>
          </cell>
          <cell r="O189">
            <v>4.41</v>
          </cell>
          <cell r="P189">
            <v>4.1900000000000004</v>
          </cell>
          <cell r="Q189">
            <v>3.85</v>
          </cell>
        </row>
        <row r="190">
          <cell r="A190" t="str">
            <v xml:space="preserve"> 9/30/59</v>
          </cell>
          <cell r="C190">
            <v>3.34</v>
          </cell>
          <cell r="D190">
            <v>4.07</v>
          </cell>
          <cell r="E190">
            <v>4.9800000000000004</v>
          </cell>
          <cell r="F190">
            <v>5.01</v>
          </cell>
          <cell r="G190">
            <v>5.0199999999999996</v>
          </cell>
          <cell r="H190">
            <v>5</v>
          </cell>
          <cell r="I190">
            <v>4.99</v>
          </cell>
          <cell r="J190">
            <v>4.97</v>
          </cell>
          <cell r="K190">
            <v>4.97</v>
          </cell>
          <cell r="L190">
            <v>4.8899999999999997</v>
          </cell>
          <cell r="M190">
            <v>4.8</v>
          </cell>
          <cell r="N190">
            <v>4.63</v>
          </cell>
          <cell r="O190">
            <v>4.45</v>
          </cell>
          <cell r="P190">
            <v>4.2</v>
          </cell>
          <cell r="Q190">
            <v>3.82</v>
          </cell>
        </row>
        <row r="191">
          <cell r="A191" t="str">
            <v>10/30/59</v>
          </cell>
          <cell r="C191">
            <v>3.03</v>
          </cell>
          <cell r="D191">
            <v>4.0599999999999996</v>
          </cell>
          <cell r="E191">
            <v>4.34</v>
          </cell>
          <cell r="F191">
            <v>4.3899999999999997</v>
          </cell>
          <cell r="G191">
            <v>4.41</v>
          </cell>
          <cell r="H191">
            <v>4.5199999999999996</v>
          </cell>
          <cell r="I191">
            <v>4.58</v>
          </cell>
          <cell r="J191">
            <v>4.67</v>
          </cell>
          <cell r="K191">
            <v>4.71</v>
          </cell>
          <cell r="L191">
            <v>4.6500000000000004</v>
          </cell>
          <cell r="M191">
            <v>4.59</v>
          </cell>
          <cell r="N191">
            <v>4.46</v>
          </cell>
          <cell r="O191">
            <v>4.33</v>
          </cell>
          <cell r="P191">
            <v>4.1399999999999997</v>
          </cell>
          <cell r="Q191">
            <v>3.91</v>
          </cell>
        </row>
        <row r="192">
          <cell r="A192" t="str">
            <v>11/30/59</v>
          </cell>
          <cell r="C192">
            <v>2.99</v>
          </cell>
          <cell r="D192">
            <v>4.3600000000000003</v>
          </cell>
          <cell r="E192">
            <v>4.92</v>
          </cell>
          <cell r="F192">
            <v>4.8600000000000003</v>
          </cell>
          <cell r="G192">
            <v>4.82</v>
          </cell>
          <cell r="H192">
            <v>4.93</v>
          </cell>
          <cell r="I192">
            <v>4.9800000000000004</v>
          </cell>
          <cell r="J192">
            <v>4.97</v>
          </cell>
          <cell r="K192">
            <v>4.96</v>
          </cell>
          <cell r="L192">
            <v>4.83</v>
          </cell>
          <cell r="M192">
            <v>4.68</v>
          </cell>
          <cell r="N192">
            <v>4.5599999999999996</v>
          </cell>
          <cell r="O192">
            <v>4.46</v>
          </cell>
          <cell r="P192">
            <v>4.22</v>
          </cell>
          <cell r="Q192">
            <v>3.84</v>
          </cell>
        </row>
        <row r="193">
          <cell r="A193" t="str">
            <v>12/31/59</v>
          </cell>
          <cell r="C193">
            <v>4.04</v>
          </cell>
          <cell r="D193">
            <v>4.41</v>
          </cell>
          <cell r="E193">
            <v>5.09</v>
          </cell>
          <cell r="F193">
            <v>4.92</v>
          </cell>
          <cell r="G193">
            <v>4.83</v>
          </cell>
          <cell r="H193">
            <v>5.07</v>
          </cell>
          <cell r="I193">
            <v>5.18</v>
          </cell>
          <cell r="J193">
            <v>5.0599999999999996</v>
          </cell>
          <cell r="K193">
            <v>5</v>
          </cell>
          <cell r="L193">
            <v>5.0199999999999996</v>
          </cell>
          <cell r="M193">
            <v>5.03</v>
          </cell>
          <cell r="N193">
            <v>4.8499999999999996</v>
          </cell>
          <cell r="O193">
            <v>4.6100000000000003</v>
          </cell>
          <cell r="P193">
            <v>4.45</v>
          </cell>
          <cell r="Q193">
            <v>4.2699999999999996</v>
          </cell>
        </row>
        <row r="194">
          <cell r="A194" t="str">
            <v xml:space="preserve"> 1/29/60</v>
          </cell>
          <cell r="C194">
            <v>3.44</v>
          </cell>
          <cell r="D194">
            <v>4.07</v>
          </cell>
          <cell r="E194">
            <v>4.58</v>
          </cell>
          <cell r="F194">
            <v>4.57</v>
          </cell>
          <cell r="G194">
            <v>4.5599999999999996</v>
          </cell>
          <cell r="H194">
            <v>4.72</v>
          </cell>
          <cell r="I194">
            <v>4.8</v>
          </cell>
          <cell r="J194">
            <v>4.82</v>
          </cell>
          <cell r="K194">
            <v>4.83</v>
          </cell>
          <cell r="L194">
            <v>4.84</v>
          </cell>
          <cell r="M194">
            <v>4.8600000000000003</v>
          </cell>
          <cell r="N194">
            <v>4.6900000000000004</v>
          </cell>
          <cell r="O194">
            <v>4.46</v>
          </cell>
          <cell r="P194">
            <v>4.3899999999999997</v>
          </cell>
          <cell r="Q194">
            <v>4.34</v>
          </cell>
        </row>
        <row r="195">
          <cell r="A195" t="str">
            <v xml:space="preserve"> 2/29/60</v>
          </cell>
          <cell r="C195">
            <v>3.84</v>
          </cell>
          <cell r="D195">
            <v>4.29</v>
          </cell>
          <cell r="E195">
            <v>4.45</v>
          </cell>
          <cell r="F195">
            <v>4.51</v>
          </cell>
          <cell r="G195">
            <v>4.54</v>
          </cell>
          <cell r="H195">
            <v>4.6500000000000004</v>
          </cell>
          <cell r="I195">
            <v>4.71</v>
          </cell>
          <cell r="J195">
            <v>4.75</v>
          </cell>
          <cell r="K195">
            <v>4.78</v>
          </cell>
          <cell r="L195">
            <v>4.76</v>
          </cell>
          <cell r="M195">
            <v>4.75</v>
          </cell>
          <cell r="N195">
            <v>4.58</v>
          </cell>
          <cell r="O195">
            <v>4.3499999999999996</v>
          </cell>
          <cell r="P195">
            <v>4.3</v>
          </cell>
          <cell r="Q195">
            <v>4.29</v>
          </cell>
        </row>
        <row r="196">
          <cell r="A196" t="str">
            <v xml:space="preserve"> 3/31/60</v>
          </cell>
          <cell r="C196">
            <v>2.54</v>
          </cell>
          <cell r="D196">
            <v>3.02</v>
          </cell>
          <cell r="E196">
            <v>3.48</v>
          </cell>
          <cell r="F196">
            <v>3.53</v>
          </cell>
          <cell r="G196">
            <v>3.56</v>
          </cell>
          <cell r="H196">
            <v>3.82</v>
          </cell>
          <cell r="I196">
            <v>3.95</v>
          </cell>
          <cell r="J196">
            <v>4.03</v>
          </cell>
          <cell r="K196">
            <v>4.07</v>
          </cell>
          <cell r="L196">
            <v>4.1500000000000004</v>
          </cell>
          <cell r="M196">
            <v>4.2300000000000004</v>
          </cell>
          <cell r="N196">
            <v>4.2</v>
          </cell>
          <cell r="O196">
            <v>4.13</v>
          </cell>
          <cell r="P196">
            <v>4.0999999999999996</v>
          </cell>
          <cell r="Q196">
            <v>4.08</v>
          </cell>
        </row>
        <row r="197">
          <cell r="A197" t="str">
            <v xml:space="preserve"> 4/29/60</v>
          </cell>
          <cell r="C197">
            <v>2.97</v>
          </cell>
          <cell r="D197">
            <v>3</v>
          </cell>
          <cell r="E197">
            <v>3.47</v>
          </cell>
          <cell r="F197">
            <v>3.95</v>
          </cell>
          <cell r="G197">
            <v>4.1900000000000004</v>
          </cell>
          <cell r="H197">
            <v>4.25</v>
          </cell>
          <cell r="I197">
            <v>4.28</v>
          </cell>
          <cell r="J197">
            <v>4.41</v>
          </cell>
          <cell r="K197">
            <v>4.4800000000000004</v>
          </cell>
          <cell r="L197">
            <v>4.4400000000000004</v>
          </cell>
          <cell r="M197">
            <v>4.3899999999999997</v>
          </cell>
          <cell r="N197">
            <v>4.3499999999999996</v>
          </cell>
          <cell r="O197">
            <v>4.32</v>
          </cell>
          <cell r="P197">
            <v>4.2699999999999996</v>
          </cell>
          <cell r="Q197">
            <v>4.21</v>
          </cell>
        </row>
        <row r="198">
          <cell r="A198" t="str">
            <v xml:space="preserve"> 5/31/60</v>
          </cell>
          <cell r="C198">
            <v>2.37</v>
          </cell>
          <cell r="D198">
            <v>3.16</v>
          </cell>
          <cell r="E198">
            <v>3.39</v>
          </cell>
          <cell r="F198">
            <v>3.81</v>
          </cell>
          <cell r="G198">
            <v>4.03</v>
          </cell>
          <cell r="H198">
            <v>4.21</v>
          </cell>
          <cell r="I198">
            <v>4.3099999999999996</v>
          </cell>
          <cell r="J198">
            <v>4.3600000000000003</v>
          </cell>
          <cell r="K198">
            <v>4.38</v>
          </cell>
          <cell r="L198">
            <v>4.38</v>
          </cell>
          <cell r="M198">
            <v>4.3899999999999997</v>
          </cell>
          <cell r="N198">
            <v>4.3</v>
          </cell>
          <cell r="O198">
            <v>4.18</v>
          </cell>
          <cell r="P198">
            <v>4.1399999999999997</v>
          </cell>
          <cell r="Q198">
            <v>4.0999999999999996</v>
          </cell>
        </row>
        <row r="199">
          <cell r="A199" t="str">
            <v xml:space="preserve"> 6/30/60</v>
          </cell>
          <cell r="C199">
            <v>1.56</v>
          </cell>
          <cell r="D199">
            <v>2.15</v>
          </cell>
          <cell r="E199">
            <v>2.6</v>
          </cell>
          <cell r="F199">
            <v>3.01</v>
          </cell>
          <cell r="G199">
            <v>3.21</v>
          </cell>
          <cell r="H199">
            <v>3.5</v>
          </cell>
          <cell r="I199">
            <v>3.65</v>
          </cell>
          <cell r="J199">
            <v>3.84</v>
          </cell>
          <cell r="K199">
            <v>3.93</v>
          </cell>
          <cell r="L199">
            <v>4.01</v>
          </cell>
          <cell r="M199">
            <v>4.09</v>
          </cell>
          <cell r="N199">
            <v>4.13</v>
          </cell>
          <cell r="O199">
            <v>4.1399999999999997</v>
          </cell>
          <cell r="P199">
            <v>3.98</v>
          </cell>
          <cell r="Q199">
            <v>3.79</v>
          </cell>
        </row>
        <row r="200">
          <cell r="A200" t="str">
            <v xml:space="preserve"> 7/29/60</v>
          </cell>
          <cell r="C200">
            <v>1.82</v>
          </cell>
          <cell r="D200">
            <v>2.21</v>
          </cell>
          <cell r="E200">
            <v>2.5499999999999998</v>
          </cell>
          <cell r="F200">
            <v>2.8</v>
          </cell>
          <cell r="G200">
            <v>2.93</v>
          </cell>
          <cell r="H200">
            <v>2.96</v>
          </cell>
          <cell r="I200">
            <v>2.98</v>
          </cell>
          <cell r="J200">
            <v>3.27</v>
          </cell>
          <cell r="K200">
            <v>3.41</v>
          </cell>
          <cell r="L200">
            <v>3.5</v>
          </cell>
          <cell r="M200">
            <v>3.59</v>
          </cell>
          <cell r="N200">
            <v>3.74</v>
          </cell>
          <cell r="O200">
            <v>3.9</v>
          </cell>
          <cell r="P200">
            <v>3.8</v>
          </cell>
          <cell r="Q200">
            <v>3.66</v>
          </cell>
        </row>
        <row r="201">
          <cell r="A201" t="str">
            <v xml:space="preserve"> 8/31/60</v>
          </cell>
          <cell r="C201">
            <v>1.76</v>
          </cell>
          <cell r="D201">
            <v>2.33</v>
          </cell>
          <cell r="E201">
            <v>2.73</v>
          </cell>
          <cell r="F201">
            <v>2.86</v>
          </cell>
          <cell r="G201">
            <v>2.93</v>
          </cell>
          <cell r="H201">
            <v>2.98</v>
          </cell>
          <cell r="I201">
            <v>3.01</v>
          </cell>
          <cell r="J201">
            <v>3.33</v>
          </cell>
          <cell r="K201">
            <v>3.49</v>
          </cell>
          <cell r="L201">
            <v>3.58</v>
          </cell>
          <cell r="M201">
            <v>3.68</v>
          </cell>
          <cell r="N201">
            <v>3.81</v>
          </cell>
          <cell r="O201">
            <v>3.94</v>
          </cell>
          <cell r="P201">
            <v>3.89</v>
          </cell>
          <cell r="Q201">
            <v>3.79</v>
          </cell>
        </row>
        <row r="202">
          <cell r="A202" t="str">
            <v xml:space="preserve"> 9/30/60</v>
          </cell>
          <cell r="C202">
            <v>2.4</v>
          </cell>
          <cell r="D202">
            <v>2.37</v>
          </cell>
          <cell r="E202">
            <v>2.96</v>
          </cell>
          <cell r="F202">
            <v>2.89</v>
          </cell>
          <cell r="G202">
            <v>2.85</v>
          </cell>
          <cell r="H202">
            <v>2.9</v>
          </cell>
          <cell r="I202">
            <v>2.93</v>
          </cell>
          <cell r="J202">
            <v>3.34</v>
          </cell>
          <cell r="K202">
            <v>3.54</v>
          </cell>
          <cell r="L202">
            <v>3.61</v>
          </cell>
          <cell r="M202">
            <v>3.7</v>
          </cell>
          <cell r="N202">
            <v>3.78</v>
          </cell>
          <cell r="O202">
            <v>3.85</v>
          </cell>
          <cell r="P202">
            <v>3.89</v>
          </cell>
          <cell r="Q202">
            <v>3.94</v>
          </cell>
        </row>
        <row r="203">
          <cell r="A203" t="str">
            <v>10/31/60</v>
          </cell>
          <cell r="C203">
            <v>1.52</v>
          </cell>
          <cell r="D203">
            <v>2.2200000000000002</v>
          </cell>
          <cell r="E203">
            <v>2.59</v>
          </cell>
          <cell r="F203">
            <v>2.81</v>
          </cell>
          <cell r="G203">
            <v>2.91</v>
          </cell>
          <cell r="H203">
            <v>2.99</v>
          </cell>
          <cell r="I203">
            <v>3.03</v>
          </cell>
          <cell r="J203">
            <v>3.38</v>
          </cell>
          <cell r="K203">
            <v>3.55</v>
          </cell>
          <cell r="L203">
            <v>3.68</v>
          </cell>
          <cell r="M203">
            <v>3.82</v>
          </cell>
          <cell r="N203">
            <v>3.89</v>
          </cell>
          <cell r="O203">
            <v>3.92</v>
          </cell>
          <cell r="P203">
            <v>3.92</v>
          </cell>
          <cell r="Q203">
            <v>3.93</v>
          </cell>
        </row>
        <row r="204">
          <cell r="A204" t="str">
            <v>11/30/60</v>
          </cell>
          <cell r="C204">
            <v>1.46</v>
          </cell>
          <cell r="D204">
            <v>2.39</v>
          </cell>
          <cell r="E204">
            <v>2.75</v>
          </cell>
          <cell r="F204">
            <v>2.97</v>
          </cell>
          <cell r="G204">
            <v>3.08</v>
          </cell>
          <cell r="H204">
            <v>3.19</v>
          </cell>
          <cell r="I204">
            <v>3.25</v>
          </cell>
          <cell r="J204">
            <v>3.6</v>
          </cell>
          <cell r="K204">
            <v>3.77</v>
          </cell>
          <cell r="L204">
            <v>3.9</v>
          </cell>
          <cell r="M204">
            <v>4.04</v>
          </cell>
          <cell r="N204">
            <v>4.08</v>
          </cell>
          <cell r="O204">
            <v>4.07</v>
          </cell>
          <cell r="P204">
            <v>4.04</v>
          </cell>
          <cell r="Q204">
            <v>3.98</v>
          </cell>
        </row>
        <row r="205">
          <cell r="A205" t="str">
            <v>12/30/60</v>
          </cell>
          <cell r="C205">
            <v>1.99</v>
          </cell>
          <cell r="D205">
            <v>2.23</v>
          </cell>
          <cell r="E205">
            <v>2.4500000000000002</v>
          </cell>
          <cell r="F205">
            <v>2.5499999999999998</v>
          </cell>
          <cell r="G205">
            <v>2.61</v>
          </cell>
          <cell r="H205">
            <v>2.72</v>
          </cell>
          <cell r="I205">
            <v>2.77</v>
          </cell>
          <cell r="J205">
            <v>3.14</v>
          </cell>
          <cell r="K205">
            <v>3.33</v>
          </cell>
          <cell r="L205">
            <v>3.48</v>
          </cell>
          <cell r="M205">
            <v>3.65</v>
          </cell>
          <cell r="N205">
            <v>3.76</v>
          </cell>
          <cell r="O205">
            <v>3.85</v>
          </cell>
          <cell r="P205">
            <v>3.87</v>
          </cell>
          <cell r="Q205">
            <v>3.89</v>
          </cell>
        </row>
        <row r="206">
          <cell r="A206" t="str">
            <v xml:space="preserve"> 1/31/61</v>
          </cell>
          <cell r="C206">
            <v>2.0099999999999998</v>
          </cell>
          <cell r="D206">
            <v>2.25</v>
          </cell>
          <cell r="E206">
            <v>2.5</v>
          </cell>
          <cell r="F206">
            <v>2.69</v>
          </cell>
          <cell r="G206">
            <v>2.79</v>
          </cell>
          <cell r="H206">
            <v>2.99</v>
          </cell>
          <cell r="I206">
            <v>3.09</v>
          </cell>
          <cell r="J206">
            <v>3.44</v>
          </cell>
          <cell r="K206">
            <v>3.62</v>
          </cell>
          <cell r="L206">
            <v>3.73</v>
          </cell>
          <cell r="M206">
            <v>3.84</v>
          </cell>
          <cell r="N206">
            <v>3.91</v>
          </cell>
          <cell r="O206">
            <v>3.95</v>
          </cell>
          <cell r="P206">
            <v>3.96</v>
          </cell>
          <cell r="Q206">
            <v>3.97</v>
          </cell>
        </row>
        <row r="207">
          <cell r="A207" t="str">
            <v xml:space="preserve"> 2/28/61</v>
          </cell>
          <cell r="C207">
            <v>2.46</v>
          </cell>
          <cell r="D207">
            <v>2.58</v>
          </cell>
          <cell r="E207">
            <v>2.78</v>
          </cell>
          <cell r="F207">
            <v>2.91</v>
          </cell>
          <cell r="G207">
            <v>2.98</v>
          </cell>
          <cell r="H207">
            <v>3.08</v>
          </cell>
          <cell r="I207">
            <v>3.14</v>
          </cell>
          <cell r="J207">
            <v>3.39</v>
          </cell>
          <cell r="K207">
            <v>3.51</v>
          </cell>
          <cell r="L207">
            <v>3.59</v>
          </cell>
          <cell r="M207">
            <v>3.69</v>
          </cell>
          <cell r="N207">
            <v>3.77</v>
          </cell>
          <cell r="O207">
            <v>3.83</v>
          </cell>
          <cell r="P207">
            <v>3.84</v>
          </cell>
          <cell r="Q207">
            <v>3.83</v>
          </cell>
        </row>
        <row r="208">
          <cell r="A208" t="str">
            <v xml:space="preserve"> 3/30/61</v>
          </cell>
          <cell r="C208">
            <v>2.15</v>
          </cell>
          <cell r="D208">
            <v>2.41</v>
          </cell>
          <cell r="E208">
            <v>2.6</v>
          </cell>
          <cell r="F208">
            <v>2.8</v>
          </cell>
          <cell r="G208">
            <v>2.91</v>
          </cell>
          <cell r="H208">
            <v>2.98</v>
          </cell>
          <cell r="I208">
            <v>3.02</v>
          </cell>
          <cell r="J208">
            <v>3.31</v>
          </cell>
          <cell r="K208">
            <v>3.46</v>
          </cell>
          <cell r="L208">
            <v>3.6</v>
          </cell>
          <cell r="M208">
            <v>3.76</v>
          </cell>
          <cell r="N208">
            <v>3.85</v>
          </cell>
          <cell r="O208">
            <v>3.91</v>
          </cell>
          <cell r="P208">
            <v>3.88</v>
          </cell>
          <cell r="Q208">
            <v>3.82</v>
          </cell>
        </row>
        <row r="209">
          <cell r="A209" t="str">
            <v xml:space="preserve"> 4/28/61</v>
          </cell>
          <cell r="C209">
            <v>1.8</v>
          </cell>
          <cell r="D209">
            <v>2.2400000000000002</v>
          </cell>
          <cell r="E209">
            <v>2.4300000000000002</v>
          </cell>
          <cell r="F209">
            <v>2.71</v>
          </cell>
          <cell r="G209">
            <v>2.86</v>
          </cell>
          <cell r="H209">
            <v>2.98</v>
          </cell>
          <cell r="I209">
            <v>3.04</v>
          </cell>
          <cell r="J209">
            <v>3.23</v>
          </cell>
          <cell r="K209">
            <v>3.32</v>
          </cell>
          <cell r="L209">
            <v>3.5</v>
          </cell>
          <cell r="M209">
            <v>3.7</v>
          </cell>
          <cell r="N209">
            <v>3.79</v>
          </cell>
          <cell r="O209">
            <v>3.82</v>
          </cell>
          <cell r="P209">
            <v>3.81</v>
          </cell>
          <cell r="Q209">
            <v>3.79</v>
          </cell>
        </row>
        <row r="210">
          <cell r="A210" t="str">
            <v xml:space="preserve"> 5/31/61</v>
          </cell>
          <cell r="C210">
            <v>2.29</v>
          </cell>
          <cell r="D210">
            <v>2.35</v>
          </cell>
          <cell r="E210">
            <v>2.62</v>
          </cell>
          <cell r="F210">
            <v>2.82</v>
          </cell>
          <cell r="G210">
            <v>2.92</v>
          </cell>
          <cell r="H210">
            <v>3.12</v>
          </cell>
          <cell r="I210">
            <v>3.22</v>
          </cell>
          <cell r="J210">
            <v>3.39</v>
          </cell>
          <cell r="K210">
            <v>3.48</v>
          </cell>
          <cell r="L210">
            <v>3.62</v>
          </cell>
          <cell r="M210">
            <v>3.79</v>
          </cell>
          <cell r="N210">
            <v>3.85</v>
          </cell>
          <cell r="O210">
            <v>3.86</v>
          </cell>
          <cell r="P210">
            <v>3.82</v>
          </cell>
          <cell r="Q210">
            <v>3.74</v>
          </cell>
        </row>
        <row r="211">
          <cell r="A211" t="str">
            <v xml:space="preserve"> 6/30/61</v>
          </cell>
          <cell r="C211">
            <v>2.06</v>
          </cell>
          <cell r="D211">
            <v>2.2999999999999998</v>
          </cell>
          <cell r="E211">
            <v>2.5299999999999998</v>
          </cell>
          <cell r="F211">
            <v>2.8</v>
          </cell>
          <cell r="G211">
            <v>2.95</v>
          </cell>
          <cell r="H211">
            <v>3.17</v>
          </cell>
          <cell r="I211">
            <v>3.28</v>
          </cell>
          <cell r="J211">
            <v>3.56</v>
          </cell>
          <cell r="K211">
            <v>3.7</v>
          </cell>
          <cell r="L211">
            <v>3.81</v>
          </cell>
          <cell r="M211">
            <v>3.93</v>
          </cell>
          <cell r="N211">
            <v>3.97</v>
          </cell>
          <cell r="O211">
            <v>3.98</v>
          </cell>
          <cell r="P211">
            <v>3.97</v>
          </cell>
          <cell r="Q211">
            <v>3.94</v>
          </cell>
        </row>
        <row r="212">
          <cell r="A212" t="str">
            <v xml:space="preserve"> 7/31/61</v>
          </cell>
          <cell r="C212">
            <v>1.6</v>
          </cell>
          <cell r="D212">
            <v>2.17</v>
          </cell>
          <cell r="E212">
            <v>2.46</v>
          </cell>
          <cell r="F212">
            <v>2.7</v>
          </cell>
          <cell r="G212">
            <v>2.82</v>
          </cell>
          <cell r="H212">
            <v>3.1</v>
          </cell>
          <cell r="I212">
            <v>3.24</v>
          </cell>
          <cell r="J212">
            <v>3.59</v>
          </cell>
          <cell r="K212">
            <v>3.76</v>
          </cell>
          <cell r="L212">
            <v>3.89</v>
          </cell>
          <cell r="M212">
            <v>4.04</v>
          </cell>
          <cell r="N212">
            <v>4.04</v>
          </cell>
          <cell r="O212">
            <v>3.98</v>
          </cell>
          <cell r="P212">
            <v>3.96</v>
          </cell>
          <cell r="Q212">
            <v>3.94</v>
          </cell>
        </row>
        <row r="213">
          <cell r="A213" t="str">
            <v xml:space="preserve"> 8/31/61</v>
          </cell>
          <cell r="C213">
            <v>2.02</v>
          </cell>
          <cell r="D213">
            <v>2.2200000000000002</v>
          </cell>
          <cell r="E213">
            <v>2.71</v>
          </cell>
          <cell r="F213">
            <v>2.9</v>
          </cell>
          <cell r="G213">
            <v>3</v>
          </cell>
          <cell r="H213">
            <v>3.25</v>
          </cell>
          <cell r="I213">
            <v>3.37</v>
          </cell>
          <cell r="J213">
            <v>3.71</v>
          </cell>
          <cell r="K213">
            <v>3.88</v>
          </cell>
          <cell r="L213">
            <v>3.97</v>
          </cell>
          <cell r="M213">
            <v>4.07</v>
          </cell>
          <cell r="N213">
            <v>4.08</v>
          </cell>
          <cell r="O213">
            <v>4.05</v>
          </cell>
          <cell r="P213">
            <v>4.0599999999999996</v>
          </cell>
          <cell r="Q213">
            <v>4.09</v>
          </cell>
        </row>
        <row r="214">
          <cell r="A214" t="str">
            <v xml:space="preserve"> 9/29/61</v>
          </cell>
          <cell r="C214">
            <v>2</v>
          </cell>
          <cell r="D214">
            <v>2.25</v>
          </cell>
          <cell r="E214">
            <v>2.73</v>
          </cell>
          <cell r="F214">
            <v>2.86</v>
          </cell>
          <cell r="G214">
            <v>2.93</v>
          </cell>
          <cell r="H214">
            <v>3.2</v>
          </cell>
          <cell r="I214">
            <v>3.34</v>
          </cell>
          <cell r="J214">
            <v>3.61</v>
          </cell>
          <cell r="K214">
            <v>3.75</v>
          </cell>
          <cell r="L214">
            <v>3.82</v>
          </cell>
          <cell r="M214">
            <v>3.9</v>
          </cell>
          <cell r="N214">
            <v>3.95</v>
          </cell>
          <cell r="O214">
            <v>3.98</v>
          </cell>
          <cell r="P214">
            <v>4.04</v>
          </cell>
          <cell r="Q214">
            <v>4.16</v>
          </cell>
        </row>
        <row r="215">
          <cell r="A215" t="str">
            <v>10/31/61</v>
          </cell>
          <cell r="C215">
            <v>1.96</v>
          </cell>
          <cell r="D215">
            <v>2.2999999999999998</v>
          </cell>
          <cell r="E215">
            <v>2.67</v>
          </cell>
          <cell r="F215">
            <v>2.84</v>
          </cell>
          <cell r="G215">
            <v>2.92</v>
          </cell>
          <cell r="H215">
            <v>3.16</v>
          </cell>
          <cell r="I215">
            <v>3.28</v>
          </cell>
          <cell r="J215">
            <v>3.54</v>
          </cell>
          <cell r="K215">
            <v>3.67</v>
          </cell>
          <cell r="L215">
            <v>3.8</v>
          </cell>
          <cell r="M215">
            <v>3.95</v>
          </cell>
          <cell r="N215">
            <v>3.98</v>
          </cell>
          <cell r="O215">
            <v>3.95</v>
          </cell>
          <cell r="P215">
            <v>4.0199999999999996</v>
          </cell>
          <cell r="Q215">
            <v>4.1500000000000004</v>
          </cell>
        </row>
        <row r="216">
          <cell r="A216" t="str">
            <v>11/30/61</v>
          </cell>
          <cell r="C216">
            <v>2.2200000000000002</v>
          </cell>
          <cell r="D216">
            <v>2.54</v>
          </cell>
          <cell r="E216">
            <v>2.81</v>
          </cell>
          <cell r="F216">
            <v>2.93</v>
          </cell>
          <cell r="G216">
            <v>2.99</v>
          </cell>
          <cell r="H216">
            <v>3.24</v>
          </cell>
          <cell r="I216">
            <v>3.37</v>
          </cell>
          <cell r="J216">
            <v>3.61</v>
          </cell>
          <cell r="K216">
            <v>3.73</v>
          </cell>
          <cell r="L216">
            <v>3.89</v>
          </cell>
          <cell r="M216">
            <v>4.0599999999999996</v>
          </cell>
          <cell r="N216">
            <v>4.09</v>
          </cell>
          <cell r="O216">
            <v>4.05</v>
          </cell>
          <cell r="P216">
            <v>4.07</v>
          </cell>
          <cell r="Q216">
            <v>4.12</v>
          </cell>
        </row>
        <row r="217">
          <cell r="A217" t="str">
            <v>12/29/61</v>
          </cell>
          <cell r="C217">
            <v>2.48</v>
          </cell>
          <cell r="D217">
            <v>2.72</v>
          </cell>
          <cell r="E217">
            <v>2.97</v>
          </cell>
          <cell r="F217">
            <v>3.07</v>
          </cell>
          <cell r="G217">
            <v>3.12</v>
          </cell>
          <cell r="H217">
            <v>3.35</v>
          </cell>
          <cell r="I217">
            <v>3.46</v>
          </cell>
          <cell r="J217">
            <v>3.7</v>
          </cell>
          <cell r="K217">
            <v>3.82</v>
          </cell>
          <cell r="L217">
            <v>3.97</v>
          </cell>
          <cell r="M217">
            <v>4.13</v>
          </cell>
          <cell r="N217">
            <v>4.17</v>
          </cell>
          <cell r="O217">
            <v>4.1399999999999997</v>
          </cell>
          <cell r="P217">
            <v>4.1399999999999997</v>
          </cell>
          <cell r="Q217">
            <v>4.1399999999999997</v>
          </cell>
        </row>
        <row r="218">
          <cell r="A218" t="str">
            <v xml:space="preserve"> 1/31/62</v>
          </cell>
          <cell r="C218">
            <v>2.5099999999999998</v>
          </cell>
          <cell r="D218">
            <v>2.71</v>
          </cell>
          <cell r="E218">
            <v>2.94</v>
          </cell>
          <cell r="F218">
            <v>3.11</v>
          </cell>
          <cell r="G218">
            <v>3.19</v>
          </cell>
          <cell r="H218">
            <v>3.44</v>
          </cell>
          <cell r="I218">
            <v>3.56</v>
          </cell>
          <cell r="J218">
            <v>3.8</v>
          </cell>
          <cell r="K218">
            <v>3.93</v>
          </cell>
          <cell r="L218">
            <v>4.0599999999999996</v>
          </cell>
          <cell r="M218">
            <v>4.21</v>
          </cell>
          <cell r="N218">
            <v>4.2300000000000004</v>
          </cell>
          <cell r="O218">
            <v>4.1900000000000004</v>
          </cell>
          <cell r="P218">
            <v>4.16</v>
          </cell>
          <cell r="Q218">
            <v>4.1100000000000003</v>
          </cell>
        </row>
        <row r="219">
          <cell r="A219" t="str">
            <v xml:space="preserve"> 2/28/62</v>
          </cell>
          <cell r="C219">
            <v>2.5</v>
          </cell>
          <cell r="D219">
            <v>2.73</v>
          </cell>
          <cell r="E219">
            <v>2.91</v>
          </cell>
          <cell r="F219">
            <v>3.03</v>
          </cell>
          <cell r="G219">
            <v>3.1</v>
          </cell>
          <cell r="H219">
            <v>3.23</v>
          </cell>
          <cell r="I219">
            <v>3.3</v>
          </cell>
          <cell r="J219">
            <v>3.5</v>
          </cell>
          <cell r="K219">
            <v>3.6</v>
          </cell>
          <cell r="L219">
            <v>3.8</v>
          </cell>
          <cell r="M219">
            <v>4.03</v>
          </cell>
          <cell r="N219">
            <v>4.13</v>
          </cell>
          <cell r="O219">
            <v>4.1500000000000004</v>
          </cell>
          <cell r="P219">
            <v>4.17</v>
          </cell>
          <cell r="Q219">
            <v>4.18</v>
          </cell>
        </row>
        <row r="220">
          <cell r="A220" t="str">
            <v xml:space="preserve"> 3/30/62</v>
          </cell>
          <cell r="C220">
            <v>2.65</v>
          </cell>
          <cell r="D220">
            <v>2.79</v>
          </cell>
          <cell r="E220">
            <v>2.89</v>
          </cell>
          <cell r="F220">
            <v>2.85</v>
          </cell>
          <cell r="G220">
            <v>2.82</v>
          </cell>
          <cell r="H220">
            <v>3.07</v>
          </cell>
          <cell r="I220">
            <v>3.19</v>
          </cell>
          <cell r="J220">
            <v>3.38</v>
          </cell>
          <cell r="K220">
            <v>3.48</v>
          </cell>
          <cell r="L220">
            <v>3.65</v>
          </cell>
          <cell r="M220">
            <v>3.84</v>
          </cell>
          <cell r="N220">
            <v>3.94</v>
          </cell>
          <cell r="O220">
            <v>3.99</v>
          </cell>
          <cell r="P220">
            <v>4.0199999999999996</v>
          </cell>
          <cell r="Q220">
            <v>4.08</v>
          </cell>
        </row>
        <row r="221">
          <cell r="A221" t="str">
            <v xml:space="preserve"> 4/30/62</v>
          </cell>
          <cell r="C221">
            <v>2.71</v>
          </cell>
          <cell r="D221">
            <v>2.74</v>
          </cell>
          <cell r="E221">
            <v>2.79</v>
          </cell>
          <cell r="F221">
            <v>2.9</v>
          </cell>
          <cell r="G221">
            <v>2.96</v>
          </cell>
          <cell r="H221">
            <v>3.16</v>
          </cell>
          <cell r="I221">
            <v>3.26</v>
          </cell>
          <cell r="J221">
            <v>3.35</v>
          </cell>
          <cell r="K221">
            <v>3.4</v>
          </cell>
          <cell r="L221">
            <v>3.55</v>
          </cell>
          <cell r="M221">
            <v>3.72</v>
          </cell>
          <cell r="N221">
            <v>3.83</v>
          </cell>
          <cell r="O221">
            <v>3.89</v>
          </cell>
          <cell r="P221">
            <v>3.94</v>
          </cell>
          <cell r="Q221">
            <v>4.01</v>
          </cell>
        </row>
        <row r="222">
          <cell r="A222" t="str">
            <v xml:space="preserve"> 5/31/62</v>
          </cell>
          <cell r="C222">
            <v>2.4</v>
          </cell>
          <cell r="D222">
            <v>2.72</v>
          </cell>
          <cell r="E222">
            <v>2.77</v>
          </cell>
          <cell r="F222">
            <v>2.86</v>
          </cell>
          <cell r="G222">
            <v>2.91</v>
          </cell>
          <cell r="H222">
            <v>3.05</v>
          </cell>
          <cell r="I222">
            <v>3.12</v>
          </cell>
          <cell r="J222">
            <v>3.31</v>
          </cell>
          <cell r="K222">
            <v>3.41</v>
          </cell>
          <cell r="L222">
            <v>3.61</v>
          </cell>
          <cell r="M222">
            <v>3.84</v>
          </cell>
          <cell r="N222">
            <v>3.91</v>
          </cell>
          <cell r="O222">
            <v>3.91</v>
          </cell>
          <cell r="P222">
            <v>3.95</v>
          </cell>
          <cell r="Q222">
            <v>4.03</v>
          </cell>
        </row>
        <row r="223">
          <cell r="A223" t="str">
            <v xml:space="preserve"> 6/29/62</v>
          </cell>
          <cell r="C223">
            <v>2.95</v>
          </cell>
          <cell r="D223">
            <v>2.94</v>
          </cell>
          <cell r="E223">
            <v>3.02</v>
          </cell>
          <cell r="F223">
            <v>3.02</v>
          </cell>
          <cell r="G223">
            <v>3.02</v>
          </cell>
          <cell r="H223">
            <v>3.25</v>
          </cell>
          <cell r="I223">
            <v>3.36</v>
          </cell>
          <cell r="J223">
            <v>3.55</v>
          </cell>
          <cell r="K223">
            <v>3.64</v>
          </cell>
          <cell r="L223">
            <v>3.81</v>
          </cell>
          <cell r="M223">
            <v>4</v>
          </cell>
          <cell r="N223">
            <v>4.03</v>
          </cell>
          <cell r="O223">
            <v>3.99</v>
          </cell>
          <cell r="P223">
            <v>4.03</v>
          </cell>
          <cell r="Q223">
            <v>4.0999999999999996</v>
          </cell>
        </row>
        <row r="224">
          <cell r="A224" t="str">
            <v xml:space="preserve"> 7/31/62</v>
          </cell>
          <cell r="C224">
            <v>2.66</v>
          </cell>
          <cell r="D224">
            <v>2.87</v>
          </cell>
          <cell r="E224">
            <v>3.08</v>
          </cell>
          <cell r="F224">
            <v>3.16</v>
          </cell>
          <cell r="G224">
            <v>3.2</v>
          </cell>
          <cell r="H224">
            <v>3.36</v>
          </cell>
          <cell r="I224">
            <v>3.44</v>
          </cell>
          <cell r="J224">
            <v>3.62</v>
          </cell>
          <cell r="K224">
            <v>3.7</v>
          </cell>
          <cell r="L224">
            <v>3.86</v>
          </cell>
          <cell r="M224">
            <v>4.05</v>
          </cell>
          <cell r="N224">
            <v>4.08</v>
          </cell>
          <cell r="O224">
            <v>4.05</v>
          </cell>
          <cell r="P224">
            <v>4.0999999999999996</v>
          </cell>
          <cell r="Q224">
            <v>4.1900000000000004</v>
          </cell>
        </row>
        <row r="225">
          <cell r="A225" t="str">
            <v xml:space="preserve"> 8/31/62</v>
          </cell>
          <cell r="C225">
            <v>2.67</v>
          </cell>
          <cell r="D225">
            <v>2.8</v>
          </cell>
          <cell r="E225">
            <v>3.01</v>
          </cell>
          <cell r="F225">
            <v>3.05</v>
          </cell>
          <cell r="G225">
            <v>3.07</v>
          </cell>
          <cell r="H225">
            <v>3.12</v>
          </cell>
          <cell r="I225">
            <v>3.15</v>
          </cell>
          <cell r="J225">
            <v>3.38</v>
          </cell>
          <cell r="K225">
            <v>3.5</v>
          </cell>
          <cell r="L225">
            <v>3.69</v>
          </cell>
          <cell r="M225">
            <v>3.91</v>
          </cell>
          <cell r="N225">
            <v>3.99</v>
          </cell>
          <cell r="O225">
            <v>4.01</v>
          </cell>
          <cell r="P225">
            <v>4.0199999999999996</v>
          </cell>
          <cell r="Q225">
            <v>4.03</v>
          </cell>
        </row>
        <row r="226">
          <cell r="A226" t="str">
            <v xml:space="preserve"> 9/28/62</v>
          </cell>
          <cell r="C226">
            <v>2.73</v>
          </cell>
          <cell r="D226">
            <v>2.79</v>
          </cell>
          <cell r="E226">
            <v>2.97</v>
          </cell>
          <cell r="F226">
            <v>2.91</v>
          </cell>
          <cell r="G226">
            <v>2.87</v>
          </cell>
          <cell r="H226">
            <v>3.01</v>
          </cell>
          <cell r="I226">
            <v>3.08</v>
          </cell>
          <cell r="J226">
            <v>3.35</v>
          </cell>
          <cell r="K226">
            <v>3.49</v>
          </cell>
          <cell r="L226">
            <v>3.68</v>
          </cell>
          <cell r="M226">
            <v>3.89</v>
          </cell>
          <cell r="N226">
            <v>3.98</v>
          </cell>
          <cell r="O226">
            <v>3.99</v>
          </cell>
          <cell r="P226">
            <v>3.99</v>
          </cell>
          <cell r="Q226">
            <v>3.97</v>
          </cell>
        </row>
        <row r="227">
          <cell r="A227" t="str">
            <v>10/31/62</v>
          </cell>
          <cell r="C227">
            <v>2.5</v>
          </cell>
          <cell r="D227">
            <v>2.75</v>
          </cell>
          <cell r="E227">
            <v>2.86</v>
          </cell>
          <cell r="F227">
            <v>2.87</v>
          </cell>
          <cell r="G227">
            <v>2.87</v>
          </cell>
          <cell r="H227">
            <v>3.01</v>
          </cell>
          <cell r="I227">
            <v>3.07</v>
          </cell>
          <cell r="J227">
            <v>3.32</v>
          </cell>
          <cell r="K227">
            <v>3.45</v>
          </cell>
          <cell r="L227">
            <v>3.61</v>
          </cell>
          <cell r="M227">
            <v>3.8</v>
          </cell>
          <cell r="N227">
            <v>3.9</v>
          </cell>
          <cell r="O227">
            <v>3.96</v>
          </cell>
          <cell r="P227">
            <v>3.95</v>
          </cell>
          <cell r="Q227">
            <v>3.92</v>
          </cell>
        </row>
        <row r="228">
          <cell r="A228" t="str">
            <v>11/30/62</v>
          </cell>
          <cell r="C228">
            <v>2.57</v>
          </cell>
          <cell r="D228">
            <v>2.91</v>
          </cell>
          <cell r="E228">
            <v>3</v>
          </cell>
          <cell r="F228">
            <v>2.94</v>
          </cell>
          <cell r="G228">
            <v>2.91</v>
          </cell>
          <cell r="H228">
            <v>3.1</v>
          </cell>
          <cell r="I228">
            <v>3.2</v>
          </cell>
          <cell r="J228">
            <v>3.32</v>
          </cell>
          <cell r="K228">
            <v>3.39</v>
          </cell>
          <cell r="L228">
            <v>3.58</v>
          </cell>
          <cell r="M228">
            <v>3.8</v>
          </cell>
          <cell r="N228">
            <v>3.91</v>
          </cell>
          <cell r="O228">
            <v>3.97</v>
          </cell>
          <cell r="P228">
            <v>3.96</v>
          </cell>
          <cell r="Q228">
            <v>3.94</v>
          </cell>
        </row>
        <row r="229">
          <cell r="A229" t="str">
            <v>12/31/62</v>
          </cell>
          <cell r="C229">
            <v>2.97</v>
          </cell>
          <cell r="D229">
            <v>2.98</v>
          </cell>
          <cell r="E229">
            <v>3.02</v>
          </cell>
          <cell r="F229">
            <v>2.96</v>
          </cell>
          <cell r="G229">
            <v>2.93</v>
          </cell>
          <cell r="H229">
            <v>3.14</v>
          </cell>
          <cell r="I229">
            <v>3.25</v>
          </cell>
          <cell r="J229">
            <v>3.34</v>
          </cell>
          <cell r="K229">
            <v>3.38</v>
          </cell>
          <cell r="L229">
            <v>3.56</v>
          </cell>
          <cell r="M229">
            <v>3.76</v>
          </cell>
          <cell r="N229">
            <v>3.87</v>
          </cell>
          <cell r="O229">
            <v>3.94</v>
          </cell>
          <cell r="P229">
            <v>3.95</v>
          </cell>
          <cell r="Q229">
            <v>3.97</v>
          </cell>
        </row>
        <row r="230">
          <cell r="A230" t="str">
            <v xml:space="preserve"> 1/31/63</v>
          </cell>
          <cell r="C230">
            <v>2.93</v>
          </cell>
          <cell r="D230">
            <v>2.99</v>
          </cell>
          <cell r="E230">
            <v>3.02</v>
          </cell>
          <cell r="F230">
            <v>2.98</v>
          </cell>
          <cell r="G230">
            <v>2.96</v>
          </cell>
          <cell r="H230">
            <v>3.06</v>
          </cell>
          <cell r="I230">
            <v>3.11</v>
          </cell>
          <cell r="J230">
            <v>3.32</v>
          </cell>
          <cell r="K230">
            <v>3.43</v>
          </cell>
          <cell r="L230">
            <v>3.59</v>
          </cell>
          <cell r="M230">
            <v>3.78</v>
          </cell>
          <cell r="N230">
            <v>3.88</v>
          </cell>
          <cell r="O230">
            <v>3.94</v>
          </cell>
          <cell r="P230">
            <v>3.98</v>
          </cell>
          <cell r="Q230">
            <v>4.05</v>
          </cell>
        </row>
        <row r="231">
          <cell r="A231" t="str">
            <v xml:space="preserve"> 2/28/63</v>
          </cell>
          <cell r="C231">
            <v>2.87</v>
          </cell>
          <cell r="D231">
            <v>2.95</v>
          </cell>
          <cell r="E231">
            <v>2.95</v>
          </cell>
          <cell r="F231">
            <v>2.91</v>
          </cell>
          <cell r="G231">
            <v>2.89</v>
          </cell>
          <cell r="H231">
            <v>3.04</v>
          </cell>
          <cell r="I231">
            <v>3.11</v>
          </cell>
          <cell r="J231">
            <v>3.33</v>
          </cell>
          <cell r="K231">
            <v>3.44</v>
          </cell>
          <cell r="L231">
            <v>3.62</v>
          </cell>
          <cell r="M231">
            <v>3.82</v>
          </cell>
          <cell r="N231">
            <v>3.94</v>
          </cell>
          <cell r="O231">
            <v>4.0199999999999996</v>
          </cell>
          <cell r="P231">
            <v>4.0199999999999996</v>
          </cell>
          <cell r="Q231">
            <v>4</v>
          </cell>
        </row>
        <row r="232">
          <cell r="A232" t="str">
            <v xml:space="preserve"> 3/29/63</v>
          </cell>
          <cell r="C232">
            <v>2.85</v>
          </cell>
          <cell r="D232">
            <v>2.98</v>
          </cell>
          <cell r="E232">
            <v>3.01</v>
          </cell>
          <cell r="F232">
            <v>2.99</v>
          </cell>
          <cell r="G232">
            <v>2.98</v>
          </cell>
          <cell r="H232">
            <v>3.06</v>
          </cell>
          <cell r="I232">
            <v>3.1</v>
          </cell>
          <cell r="J232">
            <v>3.35</v>
          </cell>
          <cell r="K232">
            <v>3.48</v>
          </cell>
          <cell r="L232">
            <v>3.65</v>
          </cell>
          <cell r="M232">
            <v>3.85</v>
          </cell>
          <cell r="N232">
            <v>3.96</v>
          </cell>
          <cell r="O232">
            <v>4.03</v>
          </cell>
          <cell r="P232">
            <v>4.03</v>
          </cell>
          <cell r="Q232">
            <v>4.0199999999999996</v>
          </cell>
        </row>
        <row r="233">
          <cell r="A233" t="str">
            <v xml:space="preserve"> 4/30/63</v>
          </cell>
          <cell r="C233">
            <v>2.87</v>
          </cell>
          <cell r="D233">
            <v>2.95</v>
          </cell>
          <cell r="E233">
            <v>3.02</v>
          </cell>
          <cell r="F233">
            <v>3.02</v>
          </cell>
          <cell r="G233">
            <v>3.02</v>
          </cell>
          <cell r="H233">
            <v>3.17</v>
          </cell>
          <cell r="I233">
            <v>3.25</v>
          </cell>
          <cell r="J233">
            <v>3.44</v>
          </cell>
          <cell r="K233">
            <v>3.54</v>
          </cell>
          <cell r="L233">
            <v>3.68</v>
          </cell>
          <cell r="M233">
            <v>3.85</v>
          </cell>
          <cell r="N233">
            <v>3.97</v>
          </cell>
          <cell r="O233">
            <v>4.0599999999999996</v>
          </cell>
          <cell r="P233">
            <v>4.08</v>
          </cell>
          <cell r="Q233">
            <v>4.08</v>
          </cell>
        </row>
        <row r="234">
          <cell r="A234" t="str">
            <v xml:space="preserve"> 5/31/63</v>
          </cell>
          <cell r="C234">
            <v>2.9</v>
          </cell>
          <cell r="D234">
            <v>3.05</v>
          </cell>
          <cell r="E234">
            <v>3.12</v>
          </cell>
          <cell r="F234">
            <v>3.1</v>
          </cell>
          <cell r="G234">
            <v>3.09</v>
          </cell>
          <cell r="H234">
            <v>3.22</v>
          </cell>
          <cell r="I234">
            <v>3.28</v>
          </cell>
          <cell r="J234">
            <v>3.5</v>
          </cell>
          <cell r="K234">
            <v>3.6</v>
          </cell>
          <cell r="L234">
            <v>3.74</v>
          </cell>
          <cell r="M234">
            <v>3.9</v>
          </cell>
          <cell r="N234">
            <v>3.99</v>
          </cell>
          <cell r="O234">
            <v>4.05</v>
          </cell>
          <cell r="P234">
            <v>4.0599999999999996</v>
          </cell>
          <cell r="Q234">
            <v>4.07</v>
          </cell>
        </row>
        <row r="235">
          <cell r="A235" t="str">
            <v xml:space="preserve"> 6/28/63</v>
          </cell>
          <cell r="C235">
            <v>3.01</v>
          </cell>
          <cell r="D235">
            <v>3.04</v>
          </cell>
          <cell r="E235">
            <v>3.14</v>
          </cell>
          <cell r="F235">
            <v>3.1</v>
          </cell>
          <cell r="G235">
            <v>3.09</v>
          </cell>
          <cell r="H235">
            <v>3.22</v>
          </cell>
          <cell r="I235">
            <v>3.29</v>
          </cell>
          <cell r="J235">
            <v>3.54</v>
          </cell>
          <cell r="K235">
            <v>3.66</v>
          </cell>
          <cell r="L235">
            <v>3.8</v>
          </cell>
          <cell r="M235">
            <v>3.96</v>
          </cell>
          <cell r="N235">
            <v>4.03</v>
          </cell>
          <cell r="O235">
            <v>4.05</v>
          </cell>
          <cell r="P235">
            <v>4.0599999999999996</v>
          </cell>
          <cell r="Q235">
            <v>4.07</v>
          </cell>
        </row>
        <row r="236">
          <cell r="A236" t="str">
            <v xml:space="preserve"> 7/31/63</v>
          </cell>
          <cell r="C236">
            <v>3.07</v>
          </cell>
          <cell r="D236">
            <v>3.3</v>
          </cell>
          <cell r="E236">
            <v>3.38</v>
          </cell>
          <cell r="F236">
            <v>3.38</v>
          </cell>
          <cell r="G236">
            <v>3.38</v>
          </cell>
          <cell r="H236">
            <v>3.5</v>
          </cell>
          <cell r="I236">
            <v>3.56</v>
          </cell>
          <cell r="J236">
            <v>3.69</v>
          </cell>
          <cell r="K236">
            <v>3.76</v>
          </cell>
          <cell r="L236">
            <v>3.86</v>
          </cell>
          <cell r="M236">
            <v>3.98</v>
          </cell>
          <cell r="N236">
            <v>4.0199999999999996</v>
          </cell>
          <cell r="O236">
            <v>4.04</v>
          </cell>
          <cell r="P236">
            <v>4.04</v>
          </cell>
          <cell r="Q236">
            <v>4.05</v>
          </cell>
        </row>
        <row r="237">
          <cell r="A237" t="str">
            <v xml:space="preserve"> 8/30/63</v>
          </cell>
          <cell r="C237">
            <v>3.21</v>
          </cell>
          <cell r="D237">
            <v>3.44</v>
          </cell>
          <cell r="E237">
            <v>3.5</v>
          </cell>
          <cell r="F237">
            <v>3.54</v>
          </cell>
          <cell r="G237">
            <v>3.56</v>
          </cell>
          <cell r="H237">
            <v>3.59</v>
          </cell>
          <cell r="I237">
            <v>3.61</v>
          </cell>
          <cell r="J237">
            <v>3.75</v>
          </cell>
          <cell r="K237">
            <v>3.82</v>
          </cell>
          <cell r="L237">
            <v>3.92</v>
          </cell>
          <cell r="M237">
            <v>4.03</v>
          </cell>
          <cell r="N237">
            <v>4.0599999999999996</v>
          </cell>
          <cell r="O237">
            <v>4.05</v>
          </cell>
          <cell r="P237">
            <v>4.04</v>
          </cell>
          <cell r="Q237">
            <v>4.04</v>
          </cell>
        </row>
        <row r="238">
          <cell r="A238" t="str">
            <v xml:space="preserve"> 9/30/63</v>
          </cell>
          <cell r="C238">
            <v>3.45</v>
          </cell>
          <cell r="D238">
            <v>3.52</v>
          </cell>
          <cell r="E238">
            <v>3.54</v>
          </cell>
          <cell r="F238">
            <v>3.55</v>
          </cell>
          <cell r="G238">
            <v>3.55</v>
          </cell>
          <cell r="H238">
            <v>3.58</v>
          </cell>
          <cell r="I238">
            <v>3.59</v>
          </cell>
          <cell r="J238">
            <v>3.74</v>
          </cell>
          <cell r="K238">
            <v>3.81</v>
          </cell>
          <cell r="L238">
            <v>3.92</v>
          </cell>
          <cell r="M238">
            <v>4.04</v>
          </cell>
          <cell r="N238">
            <v>4.09</v>
          </cell>
          <cell r="O238">
            <v>4.09</v>
          </cell>
          <cell r="P238">
            <v>4.1100000000000003</v>
          </cell>
          <cell r="Q238">
            <v>4.13</v>
          </cell>
        </row>
        <row r="239">
          <cell r="A239" t="str">
            <v>10/31/63</v>
          </cell>
          <cell r="C239">
            <v>3.39</v>
          </cell>
          <cell r="D239">
            <v>3.6</v>
          </cell>
          <cell r="E239">
            <v>3.63</v>
          </cell>
          <cell r="F239">
            <v>3.64</v>
          </cell>
          <cell r="G239">
            <v>3.64</v>
          </cell>
          <cell r="H239">
            <v>3.7</v>
          </cell>
          <cell r="I239">
            <v>3.73</v>
          </cell>
          <cell r="J239">
            <v>3.84</v>
          </cell>
          <cell r="K239">
            <v>3.89</v>
          </cell>
          <cell r="L239">
            <v>4</v>
          </cell>
          <cell r="M239">
            <v>4.13</v>
          </cell>
          <cell r="N239">
            <v>4.16</v>
          </cell>
          <cell r="O239">
            <v>4.16</v>
          </cell>
          <cell r="P239">
            <v>4.1500000000000004</v>
          </cell>
          <cell r="Q239">
            <v>4.1399999999999997</v>
          </cell>
        </row>
        <row r="240">
          <cell r="A240" t="str">
            <v>11/29/63</v>
          </cell>
          <cell r="C240">
            <v>3.11</v>
          </cell>
          <cell r="D240">
            <v>3.57</v>
          </cell>
          <cell r="E240">
            <v>3.73</v>
          </cell>
          <cell r="F240">
            <v>3.72</v>
          </cell>
          <cell r="G240">
            <v>3.71</v>
          </cell>
          <cell r="H240">
            <v>3.77</v>
          </cell>
          <cell r="I240">
            <v>3.8</v>
          </cell>
          <cell r="J240">
            <v>3.85</v>
          </cell>
          <cell r="K240">
            <v>3.88</v>
          </cell>
          <cell r="L240">
            <v>3.97</v>
          </cell>
          <cell r="M240">
            <v>4.07</v>
          </cell>
          <cell r="N240">
            <v>4.13</v>
          </cell>
          <cell r="O240">
            <v>4.16</v>
          </cell>
          <cell r="P240">
            <v>4.16</v>
          </cell>
          <cell r="Q240">
            <v>4.17</v>
          </cell>
        </row>
        <row r="241">
          <cell r="A241" t="str">
            <v>12/31/63</v>
          </cell>
          <cell r="C241">
            <v>3.49</v>
          </cell>
          <cell r="D241">
            <v>3.61</v>
          </cell>
          <cell r="E241">
            <v>3.74</v>
          </cell>
          <cell r="F241">
            <v>3.78</v>
          </cell>
          <cell r="G241">
            <v>3.8</v>
          </cell>
          <cell r="H241">
            <v>3.85</v>
          </cell>
          <cell r="I241">
            <v>3.88</v>
          </cell>
          <cell r="J241">
            <v>3.94</v>
          </cell>
          <cell r="K241">
            <v>3.98</v>
          </cell>
          <cell r="L241">
            <v>4.04</v>
          </cell>
          <cell r="M241">
            <v>4.1100000000000003</v>
          </cell>
          <cell r="N241">
            <v>4.17</v>
          </cell>
          <cell r="O241">
            <v>4.21</v>
          </cell>
          <cell r="P241">
            <v>4.21</v>
          </cell>
          <cell r="Q241">
            <v>4.1900000000000004</v>
          </cell>
        </row>
        <row r="242">
          <cell r="A242" t="str">
            <v xml:space="preserve"> 1/31/64</v>
          </cell>
          <cell r="C242">
            <v>3.47</v>
          </cell>
          <cell r="D242">
            <v>3.56</v>
          </cell>
          <cell r="E242">
            <v>3.67</v>
          </cell>
          <cell r="F242">
            <v>3.7</v>
          </cell>
          <cell r="G242">
            <v>3.71</v>
          </cell>
          <cell r="H242">
            <v>3.81</v>
          </cell>
          <cell r="I242">
            <v>3.86</v>
          </cell>
          <cell r="J242">
            <v>3.89</v>
          </cell>
          <cell r="K242">
            <v>3.91</v>
          </cell>
          <cell r="L242">
            <v>4.0199999999999996</v>
          </cell>
          <cell r="M242">
            <v>4.1399999999999997</v>
          </cell>
          <cell r="N242">
            <v>4.1900000000000004</v>
          </cell>
          <cell r="O242">
            <v>4.2</v>
          </cell>
          <cell r="P242">
            <v>4.1900000000000004</v>
          </cell>
          <cell r="Q242">
            <v>4.17</v>
          </cell>
        </row>
        <row r="243">
          <cell r="A243" t="str">
            <v xml:space="preserve"> 2/28/64</v>
          </cell>
          <cell r="C243">
            <v>3.55</v>
          </cell>
          <cell r="D243">
            <v>3.65</v>
          </cell>
          <cell r="E243">
            <v>3.81</v>
          </cell>
          <cell r="F243">
            <v>3.85</v>
          </cell>
          <cell r="G243">
            <v>3.87</v>
          </cell>
          <cell r="H243">
            <v>3.94</v>
          </cell>
          <cell r="I243">
            <v>3.98</v>
          </cell>
          <cell r="J243">
            <v>3.99</v>
          </cell>
          <cell r="K243">
            <v>4</v>
          </cell>
          <cell r="L243">
            <v>4.09</v>
          </cell>
          <cell r="M243">
            <v>4.2</v>
          </cell>
          <cell r="N243">
            <v>4.2300000000000004</v>
          </cell>
          <cell r="O243">
            <v>4.2300000000000004</v>
          </cell>
          <cell r="P243">
            <v>4.2</v>
          </cell>
          <cell r="Q243">
            <v>4.16</v>
          </cell>
        </row>
        <row r="244">
          <cell r="A244" t="str">
            <v xml:space="preserve"> 3/31/64</v>
          </cell>
          <cell r="C244">
            <v>3.55</v>
          </cell>
          <cell r="D244">
            <v>3.62</v>
          </cell>
          <cell r="E244">
            <v>3.78</v>
          </cell>
          <cell r="F244">
            <v>3.86</v>
          </cell>
          <cell r="G244">
            <v>3.9</v>
          </cell>
          <cell r="H244">
            <v>4.0199999999999996</v>
          </cell>
          <cell r="I244">
            <v>4.07</v>
          </cell>
          <cell r="J244">
            <v>4.1100000000000003</v>
          </cell>
          <cell r="K244">
            <v>4.13</v>
          </cell>
          <cell r="L244">
            <v>4.1900000000000004</v>
          </cell>
          <cell r="M244">
            <v>4.25</v>
          </cell>
          <cell r="N244">
            <v>4.2699999999999996</v>
          </cell>
          <cell r="O244">
            <v>4.29</v>
          </cell>
          <cell r="P244">
            <v>4.25</v>
          </cell>
          <cell r="Q244">
            <v>4.18</v>
          </cell>
        </row>
        <row r="245">
          <cell r="A245" t="str">
            <v xml:space="preserve"> 4/30/64</v>
          </cell>
          <cell r="C245">
            <v>3.33</v>
          </cell>
          <cell r="D245">
            <v>3.5</v>
          </cell>
          <cell r="E245">
            <v>3.66</v>
          </cell>
          <cell r="F245">
            <v>3.75</v>
          </cell>
          <cell r="G245">
            <v>3.8</v>
          </cell>
          <cell r="H245">
            <v>3.9</v>
          </cell>
          <cell r="I245">
            <v>3.96</v>
          </cell>
          <cell r="J245">
            <v>4.03</v>
          </cell>
          <cell r="K245">
            <v>4.07</v>
          </cell>
          <cell r="L245">
            <v>4.13</v>
          </cell>
          <cell r="M245">
            <v>4.21</v>
          </cell>
          <cell r="N245">
            <v>4.25</v>
          </cell>
          <cell r="O245">
            <v>4.28</v>
          </cell>
          <cell r="P245">
            <v>4.24</v>
          </cell>
          <cell r="Q245">
            <v>4.17</v>
          </cell>
        </row>
        <row r="246">
          <cell r="A246" t="str">
            <v xml:space="preserve"> 5/28/64</v>
          </cell>
          <cell r="C246">
            <v>3.18</v>
          </cell>
          <cell r="D246">
            <v>3.52</v>
          </cell>
          <cell r="E246">
            <v>3.64</v>
          </cell>
          <cell r="F246">
            <v>3.76</v>
          </cell>
          <cell r="G246">
            <v>3.83</v>
          </cell>
          <cell r="H246">
            <v>3.89</v>
          </cell>
          <cell r="I246">
            <v>3.92</v>
          </cell>
          <cell r="J246">
            <v>3.96</v>
          </cell>
          <cell r="K246">
            <v>3.99</v>
          </cell>
          <cell r="L246">
            <v>4.07</v>
          </cell>
          <cell r="M246">
            <v>4.16</v>
          </cell>
          <cell r="N246">
            <v>4.21</v>
          </cell>
          <cell r="O246">
            <v>4.24</v>
          </cell>
          <cell r="P246">
            <v>4.2</v>
          </cell>
          <cell r="Q246">
            <v>4.1399999999999997</v>
          </cell>
        </row>
        <row r="247">
          <cell r="A247" t="str">
            <v xml:space="preserve"> 6/30/64</v>
          </cell>
          <cell r="C247">
            <v>3.41</v>
          </cell>
          <cell r="D247">
            <v>3.54</v>
          </cell>
          <cell r="E247">
            <v>3.61</v>
          </cell>
          <cell r="F247">
            <v>3.72</v>
          </cell>
          <cell r="G247">
            <v>3.78</v>
          </cell>
          <cell r="H247">
            <v>3.78</v>
          </cell>
          <cell r="I247">
            <v>3.78</v>
          </cell>
          <cell r="J247">
            <v>3.89</v>
          </cell>
          <cell r="K247">
            <v>3.95</v>
          </cell>
          <cell r="L247">
            <v>4.0199999999999996</v>
          </cell>
          <cell r="M247">
            <v>4.1100000000000003</v>
          </cell>
          <cell r="N247">
            <v>4.16</v>
          </cell>
          <cell r="O247">
            <v>4.1900000000000004</v>
          </cell>
          <cell r="P247">
            <v>4.18</v>
          </cell>
          <cell r="Q247">
            <v>4.1399999999999997</v>
          </cell>
        </row>
        <row r="248">
          <cell r="A248" t="str">
            <v xml:space="preserve"> 7/31/64</v>
          </cell>
          <cell r="C248">
            <v>3.33</v>
          </cell>
          <cell r="D248">
            <v>3.53</v>
          </cell>
          <cell r="E248">
            <v>3.63</v>
          </cell>
          <cell r="F248">
            <v>3.69</v>
          </cell>
          <cell r="G248">
            <v>3.72</v>
          </cell>
          <cell r="H248">
            <v>3.69</v>
          </cell>
          <cell r="I248">
            <v>3.67</v>
          </cell>
          <cell r="J248">
            <v>3.83</v>
          </cell>
          <cell r="K248">
            <v>3.91</v>
          </cell>
          <cell r="L248">
            <v>4.01</v>
          </cell>
          <cell r="M248">
            <v>4.1100000000000003</v>
          </cell>
          <cell r="N248">
            <v>4.18</v>
          </cell>
          <cell r="O248">
            <v>4.2300000000000004</v>
          </cell>
          <cell r="P248">
            <v>4.21</v>
          </cell>
          <cell r="Q248">
            <v>4.16</v>
          </cell>
        </row>
        <row r="249">
          <cell r="A249" t="str">
            <v xml:space="preserve"> 8/31/64</v>
          </cell>
          <cell r="C249">
            <v>3.31</v>
          </cell>
          <cell r="D249">
            <v>3.56</v>
          </cell>
          <cell r="E249">
            <v>3.7</v>
          </cell>
          <cell r="F249">
            <v>3.77</v>
          </cell>
          <cell r="G249">
            <v>3.81</v>
          </cell>
          <cell r="H249">
            <v>3.79</v>
          </cell>
          <cell r="I249">
            <v>3.78</v>
          </cell>
          <cell r="J249">
            <v>3.9</v>
          </cell>
          <cell r="K249">
            <v>3.96</v>
          </cell>
          <cell r="L249">
            <v>4.05</v>
          </cell>
          <cell r="M249">
            <v>4.1500000000000004</v>
          </cell>
          <cell r="N249">
            <v>4.21</v>
          </cell>
          <cell r="O249">
            <v>4.24</v>
          </cell>
          <cell r="P249">
            <v>4.22</v>
          </cell>
          <cell r="Q249">
            <v>4.16</v>
          </cell>
        </row>
        <row r="250">
          <cell r="A250" t="str">
            <v xml:space="preserve"> 9/30/64</v>
          </cell>
          <cell r="C250">
            <v>3.55</v>
          </cell>
          <cell r="D250">
            <v>3.63</v>
          </cell>
          <cell r="E250">
            <v>3.81</v>
          </cell>
          <cell r="F250">
            <v>3.83</v>
          </cell>
          <cell r="G250">
            <v>3.85</v>
          </cell>
          <cell r="H250">
            <v>3.84</v>
          </cell>
          <cell r="I250">
            <v>3.84</v>
          </cell>
          <cell r="J250">
            <v>3.93</v>
          </cell>
          <cell r="K250">
            <v>3.97</v>
          </cell>
          <cell r="L250">
            <v>4.05</v>
          </cell>
          <cell r="M250">
            <v>4.13</v>
          </cell>
          <cell r="N250">
            <v>4.1900000000000004</v>
          </cell>
          <cell r="O250">
            <v>4.24</v>
          </cell>
          <cell r="P250">
            <v>4.22</v>
          </cell>
          <cell r="Q250">
            <v>4.17</v>
          </cell>
        </row>
        <row r="251">
          <cell r="A251" t="str">
            <v>10/30/64</v>
          </cell>
          <cell r="C251">
            <v>3.48</v>
          </cell>
          <cell r="D251">
            <v>3.63</v>
          </cell>
          <cell r="E251">
            <v>3.8</v>
          </cell>
          <cell r="F251">
            <v>3.86</v>
          </cell>
          <cell r="G251">
            <v>3.88</v>
          </cell>
          <cell r="H251">
            <v>3.89</v>
          </cell>
          <cell r="I251">
            <v>3.89</v>
          </cell>
          <cell r="J251">
            <v>3.96</v>
          </cell>
          <cell r="K251">
            <v>3.99</v>
          </cell>
          <cell r="L251">
            <v>4.0599999999999996</v>
          </cell>
          <cell r="M251">
            <v>4.13</v>
          </cell>
          <cell r="N251">
            <v>4.18</v>
          </cell>
          <cell r="O251">
            <v>4.21</v>
          </cell>
          <cell r="P251">
            <v>4.1900000000000004</v>
          </cell>
          <cell r="Q251">
            <v>4.16</v>
          </cell>
        </row>
        <row r="252">
          <cell r="A252" t="str">
            <v>11/30/64</v>
          </cell>
          <cell r="C252">
            <v>3.59</v>
          </cell>
          <cell r="D252">
            <v>3.92</v>
          </cell>
          <cell r="E252">
            <v>4.0999999999999996</v>
          </cell>
          <cell r="F252">
            <v>4.13</v>
          </cell>
          <cell r="G252">
            <v>4.1399999999999997</v>
          </cell>
          <cell r="H252">
            <v>4.12</v>
          </cell>
          <cell r="I252">
            <v>4.1100000000000003</v>
          </cell>
          <cell r="J252">
            <v>4.13</v>
          </cell>
          <cell r="K252">
            <v>4.13</v>
          </cell>
          <cell r="L252">
            <v>4.1500000000000004</v>
          </cell>
          <cell r="M252">
            <v>4.18</v>
          </cell>
          <cell r="N252">
            <v>4.21</v>
          </cell>
          <cell r="O252">
            <v>4.2300000000000004</v>
          </cell>
          <cell r="P252">
            <v>4.21</v>
          </cell>
          <cell r="Q252">
            <v>4.17</v>
          </cell>
        </row>
        <row r="253">
          <cell r="A253" t="str">
            <v>12/31/64</v>
          </cell>
          <cell r="C253">
            <v>3.5</v>
          </cell>
          <cell r="D253">
            <v>3.9</v>
          </cell>
          <cell r="E253">
            <v>4.03</v>
          </cell>
          <cell r="F253">
            <v>3.99</v>
          </cell>
          <cell r="G253">
            <v>3.97</v>
          </cell>
          <cell r="H253">
            <v>3.96</v>
          </cell>
          <cell r="I253">
            <v>3.96</v>
          </cell>
          <cell r="J253">
            <v>3.99</v>
          </cell>
          <cell r="K253">
            <v>4.01</v>
          </cell>
          <cell r="L253">
            <v>4.07</v>
          </cell>
          <cell r="M253">
            <v>4.1500000000000004</v>
          </cell>
          <cell r="N253">
            <v>4.21</v>
          </cell>
          <cell r="O253">
            <v>4.26</v>
          </cell>
          <cell r="P253">
            <v>4.2300000000000004</v>
          </cell>
          <cell r="Q253">
            <v>4.17</v>
          </cell>
        </row>
        <row r="254">
          <cell r="A254" t="str">
            <v xml:space="preserve"> 1/29/65</v>
          </cell>
          <cell r="C254">
            <v>3.88</v>
          </cell>
          <cell r="D254">
            <v>3.95</v>
          </cell>
          <cell r="E254">
            <v>4.07</v>
          </cell>
          <cell r="F254">
            <v>4.01</v>
          </cell>
          <cell r="G254">
            <v>3.98</v>
          </cell>
          <cell r="H254">
            <v>3.95</v>
          </cell>
          <cell r="I254">
            <v>3.93</v>
          </cell>
          <cell r="J254">
            <v>3.99</v>
          </cell>
          <cell r="K254">
            <v>4.01</v>
          </cell>
          <cell r="L254">
            <v>4.07</v>
          </cell>
          <cell r="M254">
            <v>4.1399999999999997</v>
          </cell>
          <cell r="N254">
            <v>4.2</v>
          </cell>
          <cell r="O254">
            <v>4.25</v>
          </cell>
          <cell r="P254">
            <v>4.22</v>
          </cell>
          <cell r="Q254">
            <v>4.16</v>
          </cell>
        </row>
        <row r="255">
          <cell r="A255" t="str">
            <v xml:space="preserve"> 2/26/65</v>
          </cell>
          <cell r="C255">
            <v>3.88</v>
          </cell>
          <cell r="D255">
            <v>4.09</v>
          </cell>
          <cell r="E255">
            <v>4.12</v>
          </cell>
          <cell r="F255">
            <v>4.12</v>
          </cell>
          <cell r="G255">
            <v>4.12</v>
          </cell>
          <cell r="H255">
            <v>4.07</v>
          </cell>
          <cell r="I255">
            <v>4.05</v>
          </cell>
          <cell r="J255">
            <v>4.03</v>
          </cell>
          <cell r="K255">
            <v>4.0199999999999996</v>
          </cell>
          <cell r="L255">
            <v>4.0999999999999996</v>
          </cell>
          <cell r="M255">
            <v>4.1900000000000004</v>
          </cell>
          <cell r="N255">
            <v>4.22</v>
          </cell>
          <cell r="O255">
            <v>4.22</v>
          </cell>
          <cell r="P255">
            <v>4.21</v>
          </cell>
          <cell r="Q255">
            <v>4.1900000000000004</v>
          </cell>
        </row>
        <row r="256">
          <cell r="A256" t="str">
            <v xml:space="preserve"> 3/31/65</v>
          </cell>
          <cell r="C256">
            <v>3.83</v>
          </cell>
          <cell r="D256">
            <v>4.03</v>
          </cell>
          <cell r="E256">
            <v>4.0599999999999996</v>
          </cell>
          <cell r="F256">
            <v>4.0599999999999996</v>
          </cell>
          <cell r="G256">
            <v>4.0599999999999996</v>
          </cell>
          <cell r="H256">
            <v>4.03</v>
          </cell>
          <cell r="I256">
            <v>4.01</v>
          </cell>
          <cell r="J256">
            <v>4.0199999999999996</v>
          </cell>
          <cell r="K256">
            <v>4.03</v>
          </cell>
          <cell r="L256">
            <v>4.09</v>
          </cell>
          <cell r="M256">
            <v>4.17</v>
          </cell>
          <cell r="N256">
            <v>4.2</v>
          </cell>
          <cell r="O256">
            <v>4.22</v>
          </cell>
          <cell r="P256">
            <v>4.21</v>
          </cell>
          <cell r="Q256">
            <v>4.18</v>
          </cell>
        </row>
        <row r="257">
          <cell r="A257" t="str">
            <v xml:space="preserve"> 4/29/65</v>
          </cell>
          <cell r="C257">
            <v>3.92</v>
          </cell>
          <cell r="D257">
            <v>4.03</v>
          </cell>
          <cell r="E257">
            <v>4.07</v>
          </cell>
          <cell r="F257">
            <v>4.05</v>
          </cell>
          <cell r="G257">
            <v>4.05</v>
          </cell>
          <cell r="H257">
            <v>4.0199999999999996</v>
          </cell>
          <cell r="I257">
            <v>4.01</v>
          </cell>
          <cell r="J257">
            <v>4.01</v>
          </cell>
          <cell r="K257">
            <v>4.01</v>
          </cell>
          <cell r="L257">
            <v>4.09</v>
          </cell>
          <cell r="M257">
            <v>4.17</v>
          </cell>
          <cell r="N257">
            <v>4.21</v>
          </cell>
          <cell r="O257">
            <v>4.2300000000000004</v>
          </cell>
          <cell r="P257">
            <v>4.21</v>
          </cell>
          <cell r="Q257">
            <v>4.17</v>
          </cell>
        </row>
        <row r="258">
          <cell r="A258" t="str">
            <v xml:space="preserve"> 5/28/65</v>
          </cell>
          <cell r="C258">
            <v>3.79</v>
          </cell>
          <cell r="D258">
            <v>3.97</v>
          </cell>
          <cell r="E258">
            <v>4.04</v>
          </cell>
          <cell r="F258">
            <v>4.04</v>
          </cell>
          <cell r="G258">
            <v>4.05</v>
          </cell>
          <cell r="H258">
            <v>4</v>
          </cell>
          <cell r="I258">
            <v>3.98</v>
          </cell>
          <cell r="J258">
            <v>4</v>
          </cell>
          <cell r="K258">
            <v>4.01</v>
          </cell>
          <cell r="L258">
            <v>4.09</v>
          </cell>
          <cell r="M258">
            <v>4.1900000000000004</v>
          </cell>
          <cell r="N258">
            <v>4.2300000000000004</v>
          </cell>
          <cell r="O258">
            <v>4.2300000000000004</v>
          </cell>
          <cell r="P258">
            <v>4.22</v>
          </cell>
          <cell r="Q258">
            <v>4.1900000000000004</v>
          </cell>
        </row>
        <row r="259">
          <cell r="A259" t="str">
            <v xml:space="preserve"> 6/30/65</v>
          </cell>
          <cell r="C259">
            <v>3.8</v>
          </cell>
          <cell r="D259">
            <v>3.9</v>
          </cell>
          <cell r="E259">
            <v>3.93</v>
          </cell>
          <cell r="F259">
            <v>3.93</v>
          </cell>
          <cell r="G259">
            <v>3.93</v>
          </cell>
          <cell r="H259">
            <v>3.9</v>
          </cell>
          <cell r="I259">
            <v>3.88</v>
          </cell>
          <cell r="J259">
            <v>3.98</v>
          </cell>
          <cell r="K259">
            <v>4.03</v>
          </cell>
          <cell r="L259">
            <v>4.09</v>
          </cell>
          <cell r="M259">
            <v>4.16</v>
          </cell>
          <cell r="N259">
            <v>4.2</v>
          </cell>
          <cell r="O259">
            <v>4.2300000000000004</v>
          </cell>
          <cell r="P259">
            <v>4.21</v>
          </cell>
          <cell r="Q259">
            <v>4.18</v>
          </cell>
        </row>
        <row r="260">
          <cell r="A260" t="str">
            <v xml:space="preserve"> 7/30/65</v>
          </cell>
          <cell r="C260">
            <v>3.84</v>
          </cell>
          <cell r="D260">
            <v>3.92</v>
          </cell>
          <cell r="E260">
            <v>3.97</v>
          </cell>
          <cell r="F260">
            <v>3.97</v>
          </cell>
          <cell r="G260">
            <v>3.97</v>
          </cell>
          <cell r="H260">
            <v>3.96</v>
          </cell>
          <cell r="I260">
            <v>3.96</v>
          </cell>
          <cell r="J260">
            <v>4.04</v>
          </cell>
          <cell r="K260">
            <v>4.08</v>
          </cell>
          <cell r="L260">
            <v>4.13</v>
          </cell>
          <cell r="M260">
            <v>4.2</v>
          </cell>
          <cell r="N260">
            <v>4.2300000000000004</v>
          </cell>
          <cell r="O260">
            <v>4.25</v>
          </cell>
          <cell r="P260">
            <v>4.2300000000000004</v>
          </cell>
          <cell r="Q260">
            <v>4.1900000000000004</v>
          </cell>
        </row>
        <row r="261">
          <cell r="A261" t="str">
            <v xml:space="preserve"> 8/31/65</v>
          </cell>
          <cell r="C261">
            <v>3.8</v>
          </cell>
          <cell r="D261">
            <v>3.95</v>
          </cell>
          <cell r="E261">
            <v>4.08</v>
          </cell>
          <cell r="F261">
            <v>4.1100000000000003</v>
          </cell>
          <cell r="G261">
            <v>4.12</v>
          </cell>
          <cell r="H261">
            <v>4.07</v>
          </cell>
          <cell r="I261">
            <v>4.04</v>
          </cell>
          <cell r="J261">
            <v>4.13</v>
          </cell>
          <cell r="K261">
            <v>4.18</v>
          </cell>
          <cell r="L261">
            <v>4.22</v>
          </cell>
          <cell r="M261">
            <v>4.26</v>
          </cell>
          <cell r="N261">
            <v>4.29</v>
          </cell>
          <cell r="O261">
            <v>4.32</v>
          </cell>
          <cell r="P261">
            <v>4.29</v>
          </cell>
          <cell r="Q261">
            <v>4.24</v>
          </cell>
        </row>
        <row r="262">
          <cell r="A262" t="str">
            <v xml:space="preserve"> 9/30/65</v>
          </cell>
          <cell r="C262">
            <v>3.93</v>
          </cell>
          <cell r="D262">
            <v>4.12</v>
          </cell>
          <cell r="E262">
            <v>4.29</v>
          </cell>
          <cell r="F262">
            <v>4.33</v>
          </cell>
          <cell r="G262">
            <v>4.3499999999999996</v>
          </cell>
          <cell r="H262">
            <v>4.24</v>
          </cell>
          <cell r="I262">
            <v>4.1900000000000004</v>
          </cell>
          <cell r="J262">
            <v>4.26</v>
          </cell>
          <cell r="K262">
            <v>4.3</v>
          </cell>
          <cell r="L262">
            <v>4.33</v>
          </cell>
          <cell r="M262">
            <v>4.37</v>
          </cell>
          <cell r="N262">
            <v>4.37</v>
          </cell>
          <cell r="O262">
            <v>4.37</v>
          </cell>
          <cell r="P262">
            <v>4.34</v>
          </cell>
          <cell r="Q262">
            <v>4.29</v>
          </cell>
        </row>
        <row r="263">
          <cell r="A263" t="str">
            <v>10/29/65</v>
          </cell>
          <cell r="C263">
            <v>3.96</v>
          </cell>
          <cell r="D263">
            <v>4.1500000000000004</v>
          </cell>
          <cell r="E263">
            <v>4.3099999999999996</v>
          </cell>
          <cell r="F263">
            <v>4.32</v>
          </cell>
          <cell r="G263">
            <v>4.33</v>
          </cell>
          <cell r="H263">
            <v>4.28</v>
          </cell>
          <cell r="I263">
            <v>4.26</v>
          </cell>
          <cell r="J263">
            <v>4.32</v>
          </cell>
          <cell r="K263">
            <v>4.3600000000000003</v>
          </cell>
          <cell r="L263">
            <v>4.38</v>
          </cell>
          <cell r="M263">
            <v>4.41</v>
          </cell>
          <cell r="N263">
            <v>4.42</v>
          </cell>
          <cell r="O263">
            <v>4.43</v>
          </cell>
          <cell r="P263">
            <v>4.37</v>
          </cell>
          <cell r="Q263">
            <v>4.2699999999999996</v>
          </cell>
        </row>
        <row r="264">
          <cell r="A264" t="str">
            <v>11/30/65</v>
          </cell>
          <cell r="C264">
            <v>3.81</v>
          </cell>
          <cell r="D264">
            <v>4.22</v>
          </cell>
          <cell r="E264">
            <v>4.3899999999999997</v>
          </cell>
          <cell r="F264">
            <v>4.4000000000000004</v>
          </cell>
          <cell r="G264">
            <v>4.41</v>
          </cell>
          <cell r="H264">
            <v>4.38</v>
          </cell>
          <cell r="I264">
            <v>4.3600000000000003</v>
          </cell>
          <cell r="J264">
            <v>4.3899999999999997</v>
          </cell>
          <cell r="K264">
            <v>4.4000000000000004</v>
          </cell>
          <cell r="L264">
            <v>4.4400000000000004</v>
          </cell>
          <cell r="M264">
            <v>4.4800000000000004</v>
          </cell>
          <cell r="N264">
            <v>4.4800000000000004</v>
          </cell>
          <cell r="O264">
            <v>4.47</v>
          </cell>
          <cell r="P264">
            <v>4.4000000000000004</v>
          </cell>
          <cell r="Q264">
            <v>4.3</v>
          </cell>
        </row>
        <row r="265">
          <cell r="A265" t="str">
            <v>12/31/65</v>
          </cell>
          <cell r="C265">
            <v>4.45</v>
          </cell>
          <cell r="D265">
            <v>4.59</v>
          </cell>
          <cell r="E265">
            <v>4.82</v>
          </cell>
          <cell r="F265">
            <v>4.88</v>
          </cell>
          <cell r="G265">
            <v>4.91</v>
          </cell>
          <cell r="H265">
            <v>4.95</v>
          </cell>
          <cell r="I265">
            <v>4.9800000000000004</v>
          </cell>
          <cell r="J265">
            <v>4.9000000000000004</v>
          </cell>
          <cell r="K265">
            <v>4.8600000000000003</v>
          </cell>
          <cell r="L265">
            <v>4.8099999999999996</v>
          </cell>
          <cell r="M265">
            <v>4.74</v>
          </cell>
          <cell r="N265">
            <v>4.6500000000000004</v>
          </cell>
          <cell r="O265">
            <v>4.5599999999999996</v>
          </cell>
          <cell r="P265">
            <v>4.49</v>
          </cell>
          <cell r="Q265">
            <v>4.38</v>
          </cell>
        </row>
        <row r="266">
          <cell r="A266" t="str">
            <v xml:space="preserve"> 1/31/66</v>
          </cell>
          <cell r="C266">
            <v>4.57</v>
          </cell>
          <cell r="D266">
            <v>4.75</v>
          </cell>
          <cell r="E266">
            <v>4.8499999999999996</v>
          </cell>
          <cell r="F266">
            <v>4.8600000000000003</v>
          </cell>
          <cell r="G266">
            <v>4.8600000000000003</v>
          </cell>
          <cell r="H266">
            <v>4.92</v>
          </cell>
          <cell r="I266">
            <v>4.95</v>
          </cell>
          <cell r="J266">
            <v>4.9400000000000004</v>
          </cell>
          <cell r="K266">
            <v>4.9400000000000004</v>
          </cell>
          <cell r="L266">
            <v>4.9000000000000004</v>
          </cell>
          <cell r="M266">
            <v>4.8499999999999996</v>
          </cell>
          <cell r="N266">
            <v>4.7300000000000004</v>
          </cell>
          <cell r="O266">
            <v>4.58</v>
          </cell>
          <cell r="P266">
            <v>4.54</v>
          </cell>
          <cell r="Q266">
            <v>4.5</v>
          </cell>
        </row>
        <row r="267">
          <cell r="A267" t="str">
            <v xml:space="preserve"> 2/28/66</v>
          </cell>
          <cell r="C267">
            <v>4.5</v>
          </cell>
          <cell r="D267">
            <v>4.7699999999999996</v>
          </cell>
          <cell r="E267">
            <v>4.96</v>
          </cell>
          <cell r="F267">
            <v>4.9800000000000004</v>
          </cell>
          <cell r="G267">
            <v>4.99</v>
          </cell>
          <cell r="H267">
            <v>5.01</v>
          </cell>
          <cell r="I267">
            <v>5.0199999999999996</v>
          </cell>
          <cell r="J267">
            <v>5.05</v>
          </cell>
          <cell r="K267">
            <v>5.0599999999999996</v>
          </cell>
          <cell r="L267">
            <v>5.12</v>
          </cell>
          <cell r="M267">
            <v>5.2</v>
          </cell>
          <cell r="N267">
            <v>5.05</v>
          </cell>
          <cell r="O267">
            <v>4.83</v>
          </cell>
          <cell r="P267">
            <v>4.74</v>
          </cell>
          <cell r="Q267">
            <v>4.6399999999999997</v>
          </cell>
        </row>
        <row r="268">
          <cell r="A268" t="str">
            <v xml:space="preserve"> 3/31/66</v>
          </cell>
          <cell r="C268">
            <v>4.34</v>
          </cell>
          <cell r="D268">
            <v>4.6500000000000004</v>
          </cell>
          <cell r="E268">
            <v>4.82</v>
          </cell>
          <cell r="F268">
            <v>4.8499999999999996</v>
          </cell>
          <cell r="G268">
            <v>4.87</v>
          </cell>
          <cell r="H268">
            <v>4.84</v>
          </cell>
          <cell r="I268">
            <v>4.83</v>
          </cell>
          <cell r="J268">
            <v>4.79</v>
          </cell>
          <cell r="K268">
            <v>4.7699999999999996</v>
          </cell>
          <cell r="L268">
            <v>4.79</v>
          </cell>
          <cell r="M268">
            <v>4.82</v>
          </cell>
          <cell r="N268">
            <v>4.74</v>
          </cell>
          <cell r="O268">
            <v>4.63</v>
          </cell>
          <cell r="P268">
            <v>4.57</v>
          </cell>
          <cell r="Q268">
            <v>4.5</v>
          </cell>
        </row>
        <row r="269">
          <cell r="A269" t="str">
            <v xml:space="preserve"> 4/29/66</v>
          </cell>
          <cell r="C269">
            <v>4.66</v>
          </cell>
          <cell r="D269">
            <v>4.7300000000000004</v>
          </cell>
          <cell r="E269">
            <v>4.8499999999999996</v>
          </cell>
          <cell r="F269">
            <v>4.9000000000000004</v>
          </cell>
          <cell r="G269">
            <v>4.93</v>
          </cell>
          <cell r="H269">
            <v>4.93</v>
          </cell>
          <cell r="I269">
            <v>4.93</v>
          </cell>
          <cell r="J269">
            <v>4.87</v>
          </cell>
          <cell r="K269">
            <v>4.84</v>
          </cell>
          <cell r="L269">
            <v>4.8600000000000003</v>
          </cell>
          <cell r="M269">
            <v>4.8899999999999997</v>
          </cell>
          <cell r="N269">
            <v>4.82</v>
          </cell>
          <cell r="O269">
            <v>4.7300000000000004</v>
          </cell>
          <cell r="P269">
            <v>4.63</v>
          </cell>
          <cell r="Q269">
            <v>4.5</v>
          </cell>
        </row>
        <row r="270">
          <cell r="A270" t="str">
            <v xml:space="preserve"> 5/31/66</v>
          </cell>
          <cell r="C270">
            <v>4.53</v>
          </cell>
          <cell r="D270">
            <v>4.7</v>
          </cell>
          <cell r="E270">
            <v>4.9400000000000004</v>
          </cell>
          <cell r="F270">
            <v>5.0199999999999996</v>
          </cell>
          <cell r="G270">
            <v>5.0599999999999996</v>
          </cell>
          <cell r="H270">
            <v>5.1100000000000003</v>
          </cell>
          <cell r="I270">
            <v>5.14</v>
          </cell>
          <cell r="J270">
            <v>5.09</v>
          </cell>
          <cell r="K270">
            <v>5.07</v>
          </cell>
          <cell r="L270">
            <v>5</v>
          </cell>
          <cell r="M270">
            <v>4.93</v>
          </cell>
          <cell r="N270">
            <v>4.83</v>
          </cell>
          <cell r="O270">
            <v>4.7300000000000004</v>
          </cell>
          <cell r="P270">
            <v>4.6900000000000004</v>
          </cell>
          <cell r="Q270">
            <v>4.66</v>
          </cell>
        </row>
        <row r="271">
          <cell r="A271" t="str">
            <v xml:space="preserve"> 6/30/66</v>
          </cell>
          <cell r="C271">
            <v>4.49</v>
          </cell>
          <cell r="D271">
            <v>4.66</v>
          </cell>
          <cell r="E271">
            <v>4.8099999999999996</v>
          </cell>
          <cell r="F271">
            <v>4.96</v>
          </cell>
          <cell r="G271">
            <v>5.05</v>
          </cell>
          <cell r="H271">
            <v>5.16</v>
          </cell>
          <cell r="I271">
            <v>5.22</v>
          </cell>
          <cell r="J271">
            <v>5.22</v>
          </cell>
          <cell r="K271">
            <v>5.22</v>
          </cell>
          <cell r="L271">
            <v>5.16</v>
          </cell>
          <cell r="M271">
            <v>5.09</v>
          </cell>
          <cell r="N271">
            <v>5</v>
          </cell>
          <cell r="O271">
            <v>4.92</v>
          </cell>
          <cell r="P271">
            <v>4.7699999999999996</v>
          </cell>
          <cell r="Q271">
            <v>4.5599999999999996</v>
          </cell>
        </row>
        <row r="272">
          <cell r="A272" t="str">
            <v xml:space="preserve"> 7/29/66</v>
          </cell>
          <cell r="C272">
            <v>4.5599999999999996</v>
          </cell>
          <cell r="D272">
            <v>4.84</v>
          </cell>
          <cell r="E272">
            <v>5.0599999999999996</v>
          </cell>
          <cell r="F272">
            <v>5.16</v>
          </cell>
          <cell r="G272">
            <v>5.21</v>
          </cell>
          <cell r="H272">
            <v>5.26</v>
          </cell>
          <cell r="I272">
            <v>5.28</v>
          </cell>
          <cell r="J272">
            <v>5.32</v>
          </cell>
          <cell r="K272">
            <v>5.33</v>
          </cell>
          <cell r="L272">
            <v>5.31</v>
          </cell>
          <cell r="M272">
            <v>5.29</v>
          </cell>
          <cell r="N272">
            <v>5.12</v>
          </cell>
          <cell r="O272">
            <v>4.9000000000000004</v>
          </cell>
          <cell r="P272">
            <v>4.76</v>
          </cell>
          <cell r="Q272">
            <v>4.58</v>
          </cell>
        </row>
        <row r="273">
          <cell r="A273" t="str">
            <v xml:space="preserve"> 8/31/66</v>
          </cell>
          <cell r="C273">
            <v>4.78</v>
          </cell>
          <cell r="D273">
            <v>5.1100000000000003</v>
          </cell>
          <cell r="E273">
            <v>5.69</v>
          </cell>
          <cell r="F273">
            <v>5.78</v>
          </cell>
          <cell r="G273">
            <v>5.82</v>
          </cell>
          <cell r="H273">
            <v>5.89</v>
          </cell>
          <cell r="I273">
            <v>5.92</v>
          </cell>
          <cell r="J273">
            <v>5.86</v>
          </cell>
          <cell r="K273">
            <v>5.82</v>
          </cell>
          <cell r="L273">
            <v>5.7</v>
          </cell>
          <cell r="M273">
            <v>5.55</v>
          </cell>
          <cell r="N273">
            <v>5.3</v>
          </cell>
          <cell r="O273">
            <v>5.03</v>
          </cell>
          <cell r="P273">
            <v>4.88</v>
          </cell>
          <cell r="Q273">
            <v>4.6900000000000004</v>
          </cell>
        </row>
        <row r="274">
          <cell r="A274" t="str">
            <v xml:space="preserve"> 9/30/66</v>
          </cell>
          <cell r="C274">
            <v>5.26</v>
          </cell>
          <cell r="D274">
            <v>5.51</v>
          </cell>
          <cell r="E274">
            <v>5.86</v>
          </cell>
          <cell r="F274">
            <v>5.81</v>
          </cell>
          <cell r="G274">
            <v>5.78</v>
          </cell>
          <cell r="H274">
            <v>5.65</v>
          </cell>
          <cell r="I274">
            <v>5.58</v>
          </cell>
          <cell r="J274">
            <v>5.53</v>
          </cell>
          <cell r="K274">
            <v>5.51</v>
          </cell>
          <cell r="L274">
            <v>5.34</v>
          </cell>
          <cell r="M274">
            <v>5.14</v>
          </cell>
          <cell r="N274">
            <v>5.01</v>
          </cell>
          <cell r="O274">
            <v>4.92</v>
          </cell>
          <cell r="P274">
            <v>4.7699999999999996</v>
          </cell>
          <cell r="Q274">
            <v>4.57</v>
          </cell>
        </row>
        <row r="275">
          <cell r="A275" t="str">
            <v>10/31/66</v>
          </cell>
          <cell r="C275">
            <v>4.7300000000000004</v>
          </cell>
          <cell r="D275">
            <v>5.42</v>
          </cell>
          <cell r="E275">
            <v>5.69</v>
          </cell>
          <cell r="F275">
            <v>5.63</v>
          </cell>
          <cell r="G275">
            <v>5.6</v>
          </cell>
          <cell r="H275">
            <v>5.46</v>
          </cell>
          <cell r="I275">
            <v>5.4</v>
          </cell>
          <cell r="J275">
            <v>5.33</v>
          </cell>
          <cell r="K275">
            <v>5.3</v>
          </cell>
          <cell r="L275">
            <v>5.22</v>
          </cell>
          <cell r="M275">
            <v>5.13</v>
          </cell>
          <cell r="N275">
            <v>4.9400000000000004</v>
          </cell>
          <cell r="O275">
            <v>4.74</v>
          </cell>
          <cell r="P275">
            <v>4.63</v>
          </cell>
          <cell r="Q275">
            <v>4.5</v>
          </cell>
        </row>
        <row r="276">
          <cell r="A276" t="str">
            <v>11/30/66</v>
          </cell>
          <cell r="C276">
            <v>4.32</v>
          </cell>
          <cell r="D276">
            <v>5.34</v>
          </cell>
          <cell r="E276">
            <v>5.45</v>
          </cell>
          <cell r="F276">
            <v>5.49</v>
          </cell>
          <cell r="G276">
            <v>5.51</v>
          </cell>
          <cell r="H276">
            <v>5.5</v>
          </cell>
          <cell r="I276">
            <v>5.49</v>
          </cell>
          <cell r="J276">
            <v>5.37</v>
          </cell>
          <cell r="K276">
            <v>5.3</v>
          </cell>
          <cell r="L276">
            <v>5.28</v>
          </cell>
          <cell r="M276">
            <v>5.25</v>
          </cell>
          <cell r="N276">
            <v>5.09</v>
          </cell>
          <cell r="O276">
            <v>4.9000000000000004</v>
          </cell>
          <cell r="P276">
            <v>4.76</v>
          </cell>
          <cell r="Q276">
            <v>4.5999999999999996</v>
          </cell>
        </row>
        <row r="277">
          <cell r="A277" t="str">
            <v>12/30/66</v>
          </cell>
          <cell r="C277">
            <v>4.71</v>
          </cell>
          <cell r="D277">
            <v>4.99</v>
          </cell>
          <cell r="E277">
            <v>5.13</v>
          </cell>
          <cell r="F277">
            <v>5.07</v>
          </cell>
          <cell r="G277">
            <v>5.04</v>
          </cell>
          <cell r="H277">
            <v>4.88</v>
          </cell>
          <cell r="I277">
            <v>4.79</v>
          </cell>
          <cell r="J277">
            <v>4.79</v>
          </cell>
          <cell r="K277">
            <v>4.78</v>
          </cell>
          <cell r="L277">
            <v>4.74</v>
          </cell>
          <cell r="M277">
            <v>4.7</v>
          </cell>
          <cell r="N277">
            <v>4.66</v>
          </cell>
          <cell r="O277">
            <v>4.62</v>
          </cell>
          <cell r="P277">
            <v>4.55</v>
          </cell>
          <cell r="Q277">
            <v>4.45</v>
          </cell>
        </row>
        <row r="278">
          <cell r="A278" t="str">
            <v xml:space="preserve"> 1/31/67</v>
          </cell>
          <cell r="C278">
            <v>4.57</v>
          </cell>
          <cell r="D278">
            <v>4.6399999999999997</v>
          </cell>
          <cell r="E278">
            <v>4.66</v>
          </cell>
          <cell r="F278">
            <v>4.6500000000000004</v>
          </cell>
          <cell r="G278">
            <v>4.6399999999999997</v>
          </cell>
          <cell r="H278">
            <v>4.51</v>
          </cell>
          <cell r="I278">
            <v>4.45</v>
          </cell>
          <cell r="J278">
            <v>4.53</v>
          </cell>
          <cell r="K278">
            <v>4.5599999999999996</v>
          </cell>
          <cell r="L278">
            <v>4.5599999999999996</v>
          </cell>
          <cell r="M278">
            <v>4.55</v>
          </cell>
          <cell r="N278">
            <v>4.51</v>
          </cell>
          <cell r="O278">
            <v>4.46</v>
          </cell>
          <cell r="P278">
            <v>4.41</v>
          </cell>
          <cell r="Q278">
            <v>4.3600000000000003</v>
          </cell>
        </row>
        <row r="279">
          <cell r="A279" t="str">
            <v xml:space="preserve"> 2/28/67</v>
          </cell>
          <cell r="C279">
            <v>4.42</v>
          </cell>
          <cell r="D279">
            <v>4.62</v>
          </cell>
          <cell r="E279">
            <v>4.68</v>
          </cell>
          <cell r="F279">
            <v>4.6900000000000004</v>
          </cell>
          <cell r="G279">
            <v>4.6900000000000004</v>
          </cell>
          <cell r="H279">
            <v>4.68</v>
          </cell>
          <cell r="I279">
            <v>4.67</v>
          </cell>
          <cell r="J279">
            <v>4.7</v>
          </cell>
          <cell r="K279">
            <v>4.71</v>
          </cell>
          <cell r="L279">
            <v>4.7300000000000004</v>
          </cell>
          <cell r="M279">
            <v>4.75</v>
          </cell>
          <cell r="N279">
            <v>4.74</v>
          </cell>
          <cell r="O279">
            <v>4.7300000000000004</v>
          </cell>
          <cell r="P279">
            <v>4.63</v>
          </cell>
          <cell r="Q279">
            <v>4.5</v>
          </cell>
        </row>
        <row r="280">
          <cell r="A280" t="str">
            <v xml:space="preserve"> 3/31/67</v>
          </cell>
          <cell r="C280">
            <v>4.0599999999999996</v>
          </cell>
          <cell r="D280">
            <v>4.1900000000000004</v>
          </cell>
          <cell r="E280">
            <v>4.2</v>
          </cell>
          <cell r="F280">
            <v>4.16</v>
          </cell>
          <cell r="G280">
            <v>4.1399999999999997</v>
          </cell>
          <cell r="H280">
            <v>4.08</v>
          </cell>
          <cell r="I280">
            <v>4.05</v>
          </cell>
          <cell r="J280">
            <v>4.21</v>
          </cell>
          <cell r="K280">
            <v>4.3</v>
          </cell>
          <cell r="L280">
            <v>4.37</v>
          </cell>
          <cell r="M280">
            <v>4.46</v>
          </cell>
          <cell r="N280">
            <v>4.54</v>
          </cell>
          <cell r="O280">
            <v>4.5999999999999996</v>
          </cell>
          <cell r="P280">
            <v>4.59</v>
          </cell>
          <cell r="Q280">
            <v>4.57</v>
          </cell>
        </row>
        <row r="281">
          <cell r="A281" t="str">
            <v xml:space="preserve"> 4/28/67</v>
          </cell>
          <cell r="C281">
            <v>3.43</v>
          </cell>
          <cell r="D281">
            <v>3.79</v>
          </cell>
          <cell r="E281">
            <v>3.92</v>
          </cell>
          <cell r="F281">
            <v>4.01</v>
          </cell>
          <cell r="G281">
            <v>4.0599999999999996</v>
          </cell>
          <cell r="H281">
            <v>4.16</v>
          </cell>
          <cell r="I281">
            <v>4.21</v>
          </cell>
          <cell r="J281">
            <v>4.4800000000000004</v>
          </cell>
          <cell r="K281">
            <v>4.6100000000000003</v>
          </cell>
          <cell r="L281">
            <v>4.68</v>
          </cell>
          <cell r="M281">
            <v>4.75</v>
          </cell>
          <cell r="N281">
            <v>4.82</v>
          </cell>
          <cell r="O281">
            <v>4.8899999999999997</v>
          </cell>
          <cell r="P281">
            <v>4.7699999999999996</v>
          </cell>
          <cell r="Q281">
            <v>4.58</v>
          </cell>
        </row>
        <row r="282">
          <cell r="A282" t="str">
            <v xml:space="preserve"> 5/31/67</v>
          </cell>
          <cell r="C282">
            <v>3.33</v>
          </cell>
          <cell r="D282">
            <v>3.47</v>
          </cell>
          <cell r="E282">
            <v>3.84</v>
          </cell>
          <cell r="F282">
            <v>3.98</v>
          </cell>
          <cell r="G282">
            <v>4.05</v>
          </cell>
          <cell r="H282">
            <v>4.26</v>
          </cell>
          <cell r="I282">
            <v>4.37</v>
          </cell>
          <cell r="J282">
            <v>4.51</v>
          </cell>
          <cell r="K282">
            <v>4.58</v>
          </cell>
          <cell r="L282">
            <v>4.67</v>
          </cell>
          <cell r="M282">
            <v>4.76</v>
          </cell>
          <cell r="N282">
            <v>4.8600000000000003</v>
          </cell>
          <cell r="O282">
            <v>4.96</v>
          </cell>
          <cell r="P282">
            <v>4.83</v>
          </cell>
          <cell r="Q282">
            <v>4.6399999999999997</v>
          </cell>
        </row>
        <row r="283">
          <cell r="A283" t="str">
            <v xml:space="preserve"> 6/30/67</v>
          </cell>
          <cell r="C283">
            <v>3.69</v>
          </cell>
          <cell r="D283">
            <v>3.94</v>
          </cell>
          <cell r="E283">
            <v>4.4800000000000004</v>
          </cell>
          <cell r="F283">
            <v>4.87</v>
          </cell>
          <cell r="G283">
            <v>5.0599999999999996</v>
          </cell>
          <cell r="H283">
            <v>4.99</v>
          </cell>
          <cell r="I283">
            <v>4.9400000000000004</v>
          </cell>
          <cell r="J283">
            <v>5.15</v>
          </cell>
          <cell r="K283">
            <v>5.25</v>
          </cell>
          <cell r="L283">
            <v>5.3</v>
          </cell>
          <cell r="M283">
            <v>5.36</v>
          </cell>
          <cell r="N283">
            <v>5.28</v>
          </cell>
          <cell r="O283">
            <v>5.14</v>
          </cell>
          <cell r="P283">
            <v>5</v>
          </cell>
          <cell r="Q283">
            <v>4.82</v>
          </cell>
        </row>
        <row r="284">
          <cell r="A284" t="str">
            <v xml:space="preserve"> 7/31/67</v>
          </cell>
          <cell r="C284">
            <v>3.74</v>
          </cell>
          <cell r="D284">
            <v>4.22</v>
          </cell>
          <cell r="E284">
            <v>4.6900000000000004</v>
          </cell>
          <cell r="F284">
            <v>4.9800000000000004</v>
          </cell>
          <cell r="G284">
            <v>5.14</v>
          </cell>
          <cell r="H284">
            <v>4.96</v>
          </cell>
          <cell r="I284">
            <v>4.88</v>
          </cell>
          <cell r="J284">
            <v>4.9800000000000004</v>
          </cell>
          <cell r="K284">
            <v>5.03</v>
          </cell>
          <cell r="L284">
            <v>5.1100000000000003</v>
          </cell>
          <cell r="M284">
            <v>5.2</v>
          </cell>
          <cell r="N284">
            <v>5.18</v>
          </cell>
          <cell r="O284">
            <v>5.0999999999999996</v>
          </cell>
          <cell r="P284">
            <v>4.95</v>
          </cell>
          <cell r="Q284">
            <v>4.76</v>
          </cell>
        </row>
        <row r="285">
          <cell r="A285" t="str">
            <v xml:space="preserve"> 8/31/67</v>
          </cell>
          <cell r="C285">
            <v>3.93</v>
          </cell>
          <cell r="D285">
            <v>4.3600000000000003</v>
          </cell>
          <cell r="E285">
            <v>4.96</v>
          </cell>
          <cell r="F285">
            <v>5.15</v>
          </cell>
          <cell r="G285">
            <v>5.24</v>
          </cell>
          <cell r="H285">
            <v>5.22</v>
          </cell>
          <cell r="I285">
            <v>5.21</v>
          </cell>
          <cell r="J285">
            <v>5.28</v>
          </cell>
          <cell r="K285">
            <v>5.31</v>
          </cell>
          <cell r="L285">
            <v>5.33</v>
          </cell>
          <cell r="M285">
            <v>5.35</v>
          </cell>
          <cell r="N285">
            <v>5.26</v>
          </cell>
          <cell r="O285">
            <v>5.12</v>
          </cell>
          <cell r="P285">
            <v>5.0199999999999996</v>
          </cell>
          <cell r="Q285">
            <v>4.88</v>
          </cell>
        </row>
        <row r="286">
          <cell r="A286" t="str">
            <v xml:space="preserve"> 9/29/67</v>
          </cell>
          <cell r="C286">
            <v>4.29</v>
          </cell>
          <cell r="D286">
            <v>4.49</v>
          </cell>
          <cell r="E286">
            <v>5.24</v>
          </cell>
          <cell r="F286">
            <v>5.27</v>
          </cell>
          <cell r="G286">
            <v>5.28</v>
          </cell>
          <cell r="H286">
            <v>5.21</v>
          </cell>
          <cell r="I286">
            <v>5.18</v>
          </cell>
          <cell r="J286">
            <v>5.31</v>
          </cell>
          <cell r="K286">
            <v>5.37</v>
          </cell>
          <cell r="L286">
            <v>5.39</v>
          </cell>
          <cell r="M286">
            <v>5.42</v>
          </cell>
          <cell r="N286">
            <v>5.33</v>
          </cell>
          <cell r="O286">
            <v>5.22</v>
          </cell>
          <cell r="P286">
            <v>5.07</v>
          </cell>
          <cell r="Q286">
            <v>4.87</v>
          </cell>
        </row>
        <row r="287">
          <cell r="A287" t="str">
            <v>10/31/67</v>
          </cell>
          <cell r="C287">
            <v>4.21</v>
          </cell>
          <cell r="D287">
            <v>4.5999999999999996</v>
          </cell>
          <cell r="E287">
            <v>5.24</v>
          </cell>
          <cell r="F287">
            <v>5.42</v>
          </cell>
          <cell r="G287">
            <v>5.51</v>
          </cell>
          <cell r="H287">
            <v>5.52</v>
          </cell>
          <cell r="I287">
            <v>5.52</v>
          </cell>
          <cell r="J287">
            <v>5.61</v>
          </cell>
          <cell r="K287">
            <v>5.65</v>
          </cell>
          <cell r="L287">
            <v>5.72</v>
          </cell>
          <cell r="M287">
            <v>5.8</v>
          </cell>
          <cell r="N287">
            <v>5.68</v>
          </cell>
          <cell r="O287">
            <v>5.49</v>
          </cell>
          <cell r="P287">
            <v>5.43</v>
          </cell>
          <cell r="Q287">
            <v>5.39</v>
          </cell>
        </row>
        <row r="288">
          <cell r="A288" t="str">
            <v>11/30/67</v>
          </cell>
          <cell r="C288">
            <v>3.99</v>
          </cell>
          <cell r="D288">
            <v>4.92</v>
          </cell>
          <cell r="E288">
            <v>5.67</v>
          </cell>
          <cell r="F288">
            <v>5.73</v>
          </cell>
          <cell r="G288">
            <v>5.76</v>
          </cell>
          <cell r="H288">
            <v>5.65</v>
          </cell>
          <cell r="I288">
            <v>5.59</v>
          </cell>
          <cell r="J288">
            <v>5.67</v>
          </cell>
          <cell r="K288">
            <v>5.71</v>
          </cell>
          <cell r="L288">
            <v>5.79</v>
          </cell>
          <cell r="M288">
            <v>5.89</v>
          </cell>
          <cell r="N288">
            <v>5.81</v>
          </cell>
          <cell r="O288">
            <v>5.67</v>
          </cell>
          <cell r="P288">
            <v>5.65</v>
          </cell>
          <cell r="Q288">
            <v>5.65</v>
          </cell>
        </row>
        <row r="289">
          <cell r="A289" t="str">
            <v>12/29/67</v>
          </cell>
          <cell r="C289">
            <v>4.3</v>
          </cell>
          <cell r="D289">
            <v>5.15</v>
          </cell>
          <cell r="E289">
            <v>5.75</v>
          </cell>
          <cell r="F289">
            <v>5.81</v>
          </cell>
          <cell r="G289">
            <v>5.84</v>
          </cell>
          <cell r="H289">
            <v>5.77</v>
          </cell>
          <cell r="I289">
            <v>5.74</v>
          </cell>
          <cell r="J289">
            <v>5.79</v>
          </cell>
          <cell r="K289">
            <v>5.81</v>
          </cell>
          <cell r="L289">
            <v>5.78</v>
          </cell>
          <cell r="M289">
            <v>5.75</v>
          </cell>
          <cell r="N289">
            <v>5.71</v>
          </cell>
          <cell r="O289">
            <v>5.67</v>
          </cell>
          <cell r="P289">
            <v>5.58</v>
          </cell>
          <cell r="Q289">
            <v>5.5</v>
          </cell>
        </row>
        <row r="290">
          <cell r="A290" t="str">
            <v xml:space="preserve"> 1/31/68</v>
          </cell>
          <cell r="C290">
            <v>4.84</v>
          </cell>
          <cell r="D290">
            <v>4.9400000000000004</v>
          </cell>
          <cell r="E290">
            <v>5.18</v>
          </cell>
          <cell r="F290">
            <v>5.29</v>
          </cell>
          <cell r="G290">
            <v>5.35</v>
          </cell>
          <cell r="H290">
            <v>5.35</v>
          </cell>
          <cell r="I290">
            <v>5.36</v>
          </cell>
          <cell r="J290">
            <v>5.46</v>
          </cell>
          <cell r="K290">
            <v>5.52</v>
          </cell>
          <cell r="L290">
            <v>5.54</v>
          </cell>
          <cell r="M290">
            <v>5.56</v>
          </cell>
          <cell r="N290">
            <v>5.56</v>
          </cell>
          <cell r="O290">
            <v>5.54</v>
          </cell>
          <cell r="P290">
            <v>5.39</v>
          </cell>
          <cell r="Q290">
            <v>5.25</v>
          </cell>
        </row>
        <row r="291">
          <cell r="A291" t="str">
            <v xml:space="preserve"> 2/29/68</v>
          </cell>
          <cell r="C291">
            <v>4.74</v>
          </cell>
          <cell r="D291">
            <v>5.14</v>
          </cell>
          <cell r="E291">
            <v>5.37</v>
          </cell>
          <cell r="F291">
            <v>5.38</v>
          </cell>
          <cell r="G291">
            <v>5.39</v>
          </cell>
          <cell r="H291">
            <v>5.41</v>
          </cell>
          <cell r="I291">
            <v>5.43</v>
          </cell>
          <cell r="J291">
            <v>5.52</v>
          </cell>
          <cell r="K291">
            <v>5.57</v>
          </cell>
          <cell r="L291">
            <v>5.6</v>
          </cell>
          <cell r="M291">
            <v>5.64</v>
          </cell>
          <cell r="N291">
            <v>5.56</v>
          </cell>
          <cell r="O291">
            <v>5.45</v>
          </cell>
          <cell r="P291">
            <v>5.39</v>
          </cell>
          <cell r="Q291">
            <v>5.36</v>
          </cell>
        </row>
        <row r="292">
          <cell r="A292" t="str">
            <v xml:space="preserve"> 3/29/68</v>
          </cell>
          <cell r="C292">
            <v>4.95</v>
          </cell>
          <cell r="D292">
            <v>5.31</v>
          </cell>
          <cell r="E292">
            <v>5.43</v>
          </cell>
          <cell r="F292">
            <v>5.5</v>
          </cell>
          <cell r="G292">
            <v>5.54</v>
          </cell>
          <cell r="H292">
            <v>5.58</v>
          </cell>
          <cell r="I292">
            <v>5.59</v>
          </cell>
          <cell r="J292">
            <v>5.7</v>
          </cell>
          <cell r="K292">
            <v>5.76</v>
          </cell>
          <cell r="L292">
            <v>5.77</v>
          </cell>
          <cell r="M292">
            <v>5.78</v>
          </cell>
          <cell r="N292">
            <v>5.78</v>
          </cell>
          <cell r="O292">
            <v>5.76</v>
          </cell>
          <cell r="P292">
            <v>5.64</v>
          </cell>
          <cell r="Q292">
            <v>5.53</v>
          </cell>
        </row>
        <row r="293">
          <cell r="A293" t="str">
            <v xml:space="preserve"> 4/30/68</v>
          </cell>
          <cell r="C293">
            <v>5.41</v>
          </cell>
          <cell r="D293">
            <v>5.68</v>
          </cell>
          <cell r="E293">
            <v>5.78</v>
          </cell>
          <cell r="F293">
            <v>5.81</v>
          </cell>
          <cell r="G293">
            <v>5.83</v>
          </cell>
          <cell r="H293">
            <v>5.79</v>
          </cell>
          <cell r="I293">
            <v>5.77</v>
          </cell>
          <cell r="J293">
            <v>5.85</v>
          </cell>
          <cell r="K293">
            <v>5.89</v>
          </cell>
          <cell r="L293">
            <v>5.88</v>
          </cell>
          <cell r="M293">
            <v>5.87</v>
          </cell>
          <cell r="N293">
            <v>5.76</v>
          </cell>
          <cell r="O293">
            <v>5.62</v>
          </cell>
          <cell r="P293">
            <v>5.49</v>
          </cell>
          <cell r="Q293">
            <v>5.38</v>
          </cell>
        </row>
        <row r="294">
          <cell r="A294" t="str">
            <v xml:space="preserve"> 5/31/68</v>
          </cell>
          <cell r="C294">
            <v>5.54</v>
          </cell>
          <cell r="D294">
            <v>5.92</v>
          </cell>
          <cell r="E294">
            <v>6.04</v>
          </cell>
          <cell r="F294">
            <v>6.08</v>
          </cell>
          <cell r="G294">
            <v>6.1</v>
          </cell>
          <cell r="H294">
            <v>5.96</v>
          </cell>
          <cell r="I294">
            <v>5.89</v>
          </cell>
          <cell r="J294">
            <v>5.83</v>
          </cell>
          <cell r="K294">
            <v>5.79</v>
          </cell>
          <cell r="L294">
            <v>5.86</v>
          </cell>
          <cell r="M294">
            <v>5.94</v>
          </cell>
          <cell r="N294">
            <v>5.92</v>
          </cell>
          <cell r="O294">
            <v>5.88</v>
          </cell>
          <cell r="P294">
            <v>5.37</v>
          </cell>
          <cell r="Q294">
            <v>4.8600000000000003</v>
          </cell>
        </row>
        <row r="295">
          <cell r="A295" t="str">
            <v xml:space="preserve"> 6/28/68</v>
          </cell>
          <cell r="C295">
            <v>5.41</v>
          </cell>
          <cell r="D295">
            <v>5.46</v>
          </cell>
          <cell r="E295">
            <v>5.71</v>
          </cell>
          <cell r="F295">
            <v>5.8</v>
          </cell>
          <cell r="G295">
            <v>5.84</v>
          </cell>
          <cell r="H295">
            <v>5.77</v>
          </cell>
          <cell r="I295">
            <v>5.73</v>
          </cell>
          <cell r="J295">
            <v>5.62</v>
          </cell>
          <cell r="K295">
            <v>5.56</v>
          </cell>
          <cell r="L295">
            <v>5.65</v>
          </cell>
          <cell r="M295">
            <v>5.75</v>
          </cell>
          <cell r="N295">
            <v>5.61</v>
          </cell>
          <cell r="O295">
            <v>5.37</v>
          </cell>
          <cell r="P295">
            <v>5.31</v>
          </cell>
          <cell r="Q295">
            <v>5.28</v>
          </cell>
        </row>
        <row r="296">
          <cell r="A296" t="str">
            <v xml:space="preserve"> 7/31/68</v>
          </cell>
          <cell r="C296">
            <v>5.22</v>
          </cell>
          <cell r="D296">
            <v>5.28</v>
          </cell>
          <cell r="E296">
            <v>5.43</v>
          </cell>
          <cell r="F296">
            <v>5.34</v>
          </cell>
          <cell r="G296">
            <v>5.29</v>
          </cell>
          <cell r="H296">
            <v>5.28</v>
          </cell>
          <cell r="I296">
            <v>5.28</v>
          </cell>
          <cell r="J296">
            <v>5.21</v>
          </cell>
          <cell r="K296">
            <v>5.18</v>
          </cell>
          <cell r="L296">
            <v>5.32</v>
          </cell>
          <cell r="M296">
            <v>5.48</v>
          </cell>
          <cell r="N296">
            <v>5.38</v>
          </cell>
          <cell r="O296">
            <v>5.18</v>
          </cell>
          <cell r="P296">
            <v>5.15</v>
          </cell>
          <cell r="Q296">
            <v>5.15</v>
          </cell>
        </row>
        <row r="297">
          <cell r="A297" t="str">
            <v xml:space="preserve"> 8/30/68</v>
          </cell>
          <cell r="C297">
            <v>5.0199999999999996</v>
          </cell>
          <cell r="D297">
            <v>5.24</v>
          </cell>
          <cell r="E297">
            <v>5.42</v>
          </cell>
          <cell r="F297">
            <v>5.34</v>
          </cell>
          <cell r="G297">
            <v>5.3</v>
          </cell>
          <cell r="H297">
            <v>5.25</v>
          </cell>
          <cell r="I297">
            <v>5.23</v>
          </cell>
          <cell r="J297">
            <v>5.21</v>
          </cell>
          <cell r="K297">
            <v>5.21</v>
          </cell>
          <cell r="L297">
            <v>5.36</v>
          </cell>
          <cell r="M297">
            <v>5.54</v>
          </cell>
          <cell r="N297">
            <v>5.44</v>
          </cell>
          <cell r="O297">
            <v>5.23</v>
          </cell>
          <cell r="P297">
            <v>5.19</v>
          </cell>
          <cell r="Q297">
            <v>5.17</v>
          </cell>
        </row>
        <row r="298">
          <cell r="A298" t="str">
            <v xml:space="preserve"> 9/30/68</v>
          </cell>
          <cell r="C298">
            <v>5.25</v>
          </cell>
          <cell r="D298">
            <v>5.3</v>
          </cell>
          <cell r="E298">
            <v>5.52</v>
          </cell>
          <cell r="F298">
            <v>5.37</v>
          </cell>
          <cell r="G298">
            <v>5.29</v>
          </cell>
          <cell r="H298">
            <v>5.31</v>
          </cell>
          <cell r="I298">
            <v>5.32</v>
          </cell>
          <cell r="J298">
            <v>5.24</v>
          </cell>
          <cell r="K298">
            <v>5.2</v>
          </cell>
          <cell r="L298">
            <v>5.38</v>
          </cell>
          <cell r="M298">
            <v>5.58</v>
          </cell>
          <cell r="N298">
            <v>5.52</v>
          </cell>
          <cell r="O298">
            <v>5.35</v>
          </cell>
          <cell r="P298">
            <v>5.3</v>
          </cell>
          <cell r="Q298">
            <v>5.27</v>
          </cell>
        </row>
        <row r="299">
          <cell r="A299" t="str">
            <v>10/31/68</v>
          </cell>
          <cell r="C299">
            <v>5.38</v>
          </cell>
          <cell r="D299">
            <v>5.63</v>
          </cell>
          <cell r="E299">
            <v>5.72</v>
          </cell>
          <cell r="F299">
            <v>5.61</v>
          </cell>
          <cell r="G299">
            <v>5.55</v>
          </cell>
          <cell r="H299">
            <v>5.51</v>
          </cell>
          <cell r="I299">
            <v>5.49</v>
          </cell>
          <cell r="J299">
            <v>5.34</v>
          </cell>
          <cell r="K299">
            <v>5.27</v>
          </cell>
          <cell r="L299">
            <v>5.49</v>
          </cell>
          <cell r="M299">
            <v>5.74</v>
          </cell>
          <cell r="N299">
            <v>5.67</v>
          </cell>
          <cell r="O299">
            <v>5.46</v>
          </cell>
          <cell r="P299">
            <v>5.42</v>
          </cell>
          <cell r="Q299">
            <v>5.41</v>
          </cell>
        </row>
        <row r="300">
          <cell r="A300" t="str">
            <v>11/29/68</v>
          </cell>
          <cell r="C300">
            <v>4.97</v>
          </cell>
          <cell r="D300">
            <v>5.64</v>
          </cell>
          <cell r="E300">
            <v>5.79</v>
          </cell>
          <cell r="F300">
            <v>5.74</v>
          </cell>
          <cell r="G300">
            <v>5.71</v>
          </cell>
          <cell r="H300">
            <v>5.61</v>
          </cell>
          <cell r="I300">
            <v>5.55</v>
          </cell>
          <cell r="J300">
            <v>5.45</v>
          </cell>
          <cell r="K300">
            <v>5.4</v>
          </cell>
          <cell r="L300">
            <v>5.61</v>
          </cell>
          <cell r="M300">
            <v>5.86</v>
          </cell>
          <cell r="N300">
            <v>5.83</v>
          </cell>
          <cell r="O300">
            <v>5.69</v>
          </cell>
          <cell r="P300">
            <v>5.64</v>
          </cell>
          <cell r="Q300">
            <v>5.62</v>
          </cell>
        </row>
        <row r="301">
          <cell r="A301" t="str">
            <v>12/31/68</v>
          </cell>
          <cell r="C301">
            <v>6.1</v>
          </cell>
          <cell r="D301">
            <v>6.34</v>
          </cell>
          <cell r="E301">
            <v>6.63</v>
          </cell>
          <cell r="F301">
            <v>6.49</v>
          </cell>
          <cell r="G301">
            <v>6.42</v>
          </cell>
          <cell r="H301">
            <v>6.43</v>
          </cell>
          <cell r="I301">
            <v>6.43</v>
          </cell>
          <cell r="J301">
            <v>6.14</v>
          </cell>
          <cell r="K301">
            <v>6</v>
          </cell>
          <cell r="L301">
            <v>6.17</v>
          </cell>
          <cell r="M301">
            <v>6.35</v>
          </cell>
          <cell r="N301">
            <v>6.21</v>
          </cell>
          <cell r="O301">
            <v>5.93</v>
          </cell>
          <cell r="P301">
            <v>5.95</v>
          </cell>
          <cell r="Q301">
            <v>5.99</v>
          </cell>
        </row>
        <row r="302">
          <cell r="A302" t="str">
            <v xml:space="preserve"> 1/31/69</v>
          </cell>
          <cell r="C302">
            <v>6.01</v>
          </cell>
          <cell r="D302">
            <v>6.37</v>
          </cell>
          <cell r="E302">
            <v>6.51</v>
          </cell>
          <cell r="F302">
            <v>6.43</v>
          </cell>
          <cell r="G302">
            <v>6.39</v>
          </cell>
          <cell r="H302">
            <v>6.3</v>
          </cell>
          <cell r="I302">
            <v>6.26</v>
          </cell>
          <cell r="J302">
            <v>6.02</v>
          </cell>
          <cell r="K302">
            <v>5.91</v>
          </cell>
          <cell r="L302">
            <v>6.14</v>
          </cell>
          <cell r="M302">
            <v>6.4</v>
          </cell>
          <cell r="N302">
            <v>6.29</v>
          </cell>
          <cell r="O302">
            <v>6.04</v>
          </cell>
          <cell r="P302">
            <v>6.13</v>
          </cell>
          <cell r="Q302">
            <v>6.22</v>
          </cell>
        </row>
        <row r="303">
          <cell r="A303" t="str">
            <v xml:space="preserve"> 2/28/69</v>
          </cell>
          <cell r="C303">
            <v>5.78</v>
          </cell>
          <cell r="D303">
            <v>6.38</v>
          </cell>
          <cell r="E303">
            <v>6.52</v>
          </cell>
          <cell r="F303">
            <v>6.52</v>
          </cell>
          <cell r="G303">
            <v>6.52</v>
          </cell>
          <cell r="H303">
            <v>6.54</v>
          </cell>
          <cell r="I303">
            <v>6.55</v>
          </cell>
          <cell r="J303">
            <v>6.47</v>
          </cell>
          <cell r="K303">
            <v>6.42</v>
          </cell>
          <cell r="L303">
            <v>6.42</v>
          </cell>
          <cell r="M303">
            <v>6.41</v>
          </cell>
          <cell r="N303">
            <v>6.31</v>
          </cell>
          <cell r="O303">
            <v>6.18</v>
          </cell>
          <cell r="P303">
            <v>6.15</v>
          </cell>
          <cell r="Q303">
            <v>6.14</v>
          </cell>
        </row>
        <row r="304">
          <cell r="A304" t="str">
            <v xml:space="preserve"> 3/28/69</v>
          </cell>
          <cell r="C304">
            <v>5.4</v>
          </cell>
          <cell r="D304">
            <v>6.2</v>
          </cell>
          <cell r="E304">
            <v>6.27</v>
          </cell>
          <cell r="F304">
            <v>6.37</v>
          </cell>
          <cell r="G304">
            <v>6.42</v>
          </cell>
          <cell r="H304">
            <v>6.25</v>
          </cell>
          <cell r="I304">
            <v>6.17</v>
          </cell>
          <cell r="J304">
            <v>6.24</v>
          </cell>
          <cell r="K304">
            <v>6.28</v>
          </cell>
          <cell r="L304">
            <v>6.35</v>
          </cell>
          <cell r="M304">
            <v>6.44</v>
          </cell>
          <cell r="N304">
            <v>6.45</v>
          </cell>
          <cell r="O304">
            <v>6.43</v>
          </cell>
          <cell r="P304">
            <v>6.26</v>
          </cell>
          <cell r="Q304">
            <v>6.12</v>
          </cell>
        </row>
        <row r="305">
          <cell r="A305" t="str">
            <v xml:space="preserve"> 4/30/69</v>
          </cell>
          <cell r="C305">
            <v>6.27</v>
          </cell>
          <cell r="D305">
            <v>6.09</v>
          </cell>
          <cell r="E305">
            <v>6.19</v>
          </cell>
          <cell r="F305">
            <v>6.2</v>
          </cell>
          <cell r="G305">
            <v>6.2</v>
          </cell>
          <cell r="H305">
            <v>6.23</v>
          </cell>
          <cell r="I305">
            <v>6.24</v>
          </cell>
          <cell r="J305">
            <v>6.16</v>
          </cell>
          <cell r="K305">
            <v>6.13</v>
          </cell>
          <cell r="L305">
            <v>6.27</v>
          </cell>
          <cell r="M305">
            <v>6.43</v>
          </cell>
          <cell r="N305">
            <v>6.25</v>
          </cell>
          <cell r="O305">
            <v>5.96</v>
          </cell>
          <cell r="P305">
            <v>5.9</v>
          </cell>
          <cell r="Q305">
            <v>5.88</v>
          </cell>
        </row>
        <row r="306">
          <cell r="A306" t="str">
            <v xml:space="preserve"> 5/29/69</v>
          </cell>
          <cell r="C306">
            <v>5.87</v>
          </cell>
          <cell r="D306">
            <v>6.21</v>
          </cell>
          <cell r="E306">
            <v>6.47</v>
          </cell>
          <cell r="F306">
            <v>6.59</v>
          </cell>
          <cell r="G306">
            <v>6.65</v>
          </cell>
          <cell r="H306">
            <v>6.7</v>
          </cell>
          <cell r="I306">
            <v>6.72</v>
          </cell>
          <cell r="J306">
            <v>6.67</v>
          </cell>
          <cell r="K306">
            <v>6.64</v>
          </cell>
          <cell r="L306">
            <v>6.65</v>
          </cell>
          <cell r="M306">
            <v>6.66</v>
          </cell>
          <cell r="N306">
            <v>6.58</v>
          </cell>
          <cell r="O306">
            <v>6.46</v>
          </cell>
          <cell r="P306">
            <v>6.36</v>
          </cell>
          <cell r="Q306">
            <v>6.29</v>
          </cell>
        </row>
        <row r="307">
          <cell r="A307" t="str">
            <v xml:space="preserve"> 6/30/69</v>
          </cell>
          <cell r="C307">
            <v>6.19</v>
          </cell>
          <cell r="D307">
            <v>6.69</v>
          </cell>
          <cell r="E307">
            <v>7.14</v>
          </cell>
          <cell r="F307">
            <v>7.6</v>
          </cell>
          <cell r="G307">
            <v>7.83</v>
          </cell>
          <cell r="H307">
            <v>7.53</v>
          </cell>
          <cell r="I307">
            <v>7.38</v>
          </cell>
          <cell r="J307">
            <v>7.22</v>
          </cell>
          <cell r="K307">
            <v>7.14</v>
          </cell>
          <cell r="L307">
            <v>6.98</v>
          </cell>
          <cell r="M307">
            <v>6.79</v>
          </cell>
          <cell r="N307">
            <v>6.54</v>
          </cell>
          <cell r="O307">
            <v>6.3</v>
          </cell>
          <cell r="P307">
            <v>6.19</v>
          </cell>
          <cell r="Q307">
            <v>6.13</v>
          </cell>
        </row>
        <row r="308">
          <cell r="A308" t="str">
            <v xml:space="preserve"> 7/31/69</v>
          </cell>
          <cell r="C308">
            <v>6.61</v>
          </cell>
          <cell r="D308">
            <v>7.38</v>
          </cell>
          <cell r="E308">
            <v>7.42</v>
          </cell>
          <cell r="F308">
            <v>7.63</v>
          </cell>
          <cell r="G308">
            <v>7.74</v>
          </cell>
          <cell r="H308">
            <v>7.73</v>
          </cell>
          <cell r="I308">
            <v>7.72</v>
          </cell>
          <cell r="J308">
            <v>7.37</v>
          </cell>
          <cell r="K308">
            <v>7.19</v>
          </cell>
          <cell r="L308">
            <v>6.97</v>
          </cell>
          <cell r="M308">
            <v>6.71</v>
          </cell>
          <cell r="N308">
            <v>6.48</v>
          </cell>
          <cell r="O308">
            <v>6.29</v>
          </cell>
          <cell r="P308">
            <v>6.17</v>
          </cell>
          <cell r="Q308">
            <v>6.1</v>
          </cell>
        </row>
        <row r="309">
          <cell r="A309" t="str">
            <v xml:space="preserve"> 8/29/69</v>
          </cell>
          <cell r="C309">
            <v>7.22</v>
          </cell>
          <cell r="D309">
            <v>7.08</v>
          </cell>
          <cell r="E309">
            <v>7.48</v>
          </cell>
          <cell r="F309">
            <v>7.67</v>
          </cell>
          <cell r="G309">
            <v>7.77</v>
          </cell>
          <cell r="H309">
            <v>7.72</v>
          </cell>
          <cell r="I309">
            <v>7.69</v>
          </cell>
          <cell r="J309">
            <v>7.52</v>
          </cell>
          <cell r="K309">
            <v>7.43</v>
          </cell>
          <cell r="L309">
            <v>7.2</v>
          </cell>
          <cell r="M309">
            <v>6.92</v>
          </cell>
          <cell r="N309">
            <v>6.61</v>
          </cell>
          <cell r="O309">
            <v>6.3</v>
          </cell>
          <cell r="P309">
            <v>6.2</v>
          </cell>
          <cell r="Q309">
            <v>6.15</v>
          </cell>
        </row>
        <row r="310">
          <cell r="A310" t="str">
            <v xml:space="preserve"> 9/30/69</v>
          </cell>
          <cell r="C310">
            <v>7.23</v>
          </cell>
          <cell r="D310">
            <v>7.23</v>
          </cell>
          <cell r="E310">
            <v>7.66</v>
          </cell>
          <cell r="F310">
            <v>7.89</v>
          </cell>
          <cell r="G310">
            <v>8.01</v>
          </cell>
          <cell r="H310">
            <v>8.2100000000000009</v>
          </cell>
          <cell r="I310">
            <v>8.31</v>
          </cell>
          <cell r="J310">
            <v>8.2899999999999991</v>
          </cell>
          <cell r="K310">
            <v>8.2799999999999994</v>
          </cell>
          <cell r="L310">
            <v>8.0500000000000007</v>
          </cell>
          <cell r="M310">
            <v>7.78</v>
          </cell>
          <cell r="N310">
            <v>7.35</v>
          </cell>
          <cell r="O310">
            <v>6.88</v>
          </cell>
          <cell r="P310">
            <v>6.59</v>
          </cell>
          <cell r="Q310">
            <v>6.42</v>
          </cell>
        </row>
        <row r="311">
          <cell r="A311" t="str">
            <v>10/31/69</v>
          </cell>
          <cell r="C311">
            <v>6.68</v>
          </cell>
          <cell r="D311">
            <v>7.16</v>
          </cell>
          <cell r="E311">
            <v>7.62</v>
          </cell>
          <cell r="F311">
            <v>7.62</v>
          </cell>
          <cell r="G311">
            <v>7.62</v>
          </cell>
          <cell r="H311">
            <v>7.59</v>
          </cell>
          <cell r="I311">
            <v>7.58</v>
          </cell>
          <cell r="J311">
            <v>7.64</v>
          </cell>
          <cell r="K311">
            <v>7.67</v>
          </cell>
          <cell r="L311">
            <v>7.34</v>
          </cell>
          <cell r="M311">
            <v>6.97</v>
          </cell>
          <cell r="N311">
            <v>6.82</v>
          </cell>
          <cell r="O311">
            <v>6.77</v>
          </cell>
          <cell r="P311">
            <v>6.47</v>
          </cell>
          <cell r="Q311">
            <v>6.25</v>
          </cell>
        </row>
        <row r="312">
          <cell r="A312" t="str">
            <v>11/28/69</v>
          </cell>
          <cell r="C312">
            <v>6.79</v>
          </cell>
          <cell r="D312">
            <v>7.74</v>
          </cell>
          <cell r="E312">
            <v>8.26</v>
          </cell>
          <cell r="F312">
            <v>8.16</v>
          </cell>
          <cell r="G312">
            <v>8.1</v>
          </cell>
          <cell r="H312">
            <v>8.02</v>
          </cell>
          <cell r="I312">
            <v>7.98</v>
          </cell>
          <cell r="J312">
            <v>7.91</v>
          </cell>
          <cell r="K312">
            <v>7.88</v>
          </cell>
          <cell r="L312">
            <v>7.58</v>
          </cell>
          <cell r="M312">
            <v>7.24</v>
          </cell>
          <cell r="N312">
            <v>7.22</v>
          </cell>
          <cell r="O312">
            <v>7.32</v>
          </cell>
          <cell r="P312">
            <v>6.79</v>
          </cell>
          <cell r="Q312">
            <v>6.39</v>
          </cell>
        </row>
        <row r="313">
          <cell r="A313" t="str">
            <v>12/31/69</v>
          </cell>
          <cell r="C313">
            <v>6.91</v>
          </cell>
          <cell r="D313">
            <v>8.2100000000000009</v>
          </cell>
          <cell r="E313">
            <v>8.5</v>
          </cell>
          <cell r="F313">
            <v>8.2899999999999991</v>
          </cell>
          <cell r="G313">
            <v>8.18</v>
          </cell>
          <cell r="H313">
            <v>8.49</v>
          </cell>
          <cell r="I313">
            <v>8.64</v>
          </cell>
          <cell r="J313">
            <v>8.51</v>
          </cell>
          <cell r="K313">
            <v>8.4499999999999993</v>
          </cell>
          <cell r="L313">
            <v>8.14</v>
          </cell>
          <cell r="M313">
            <v>7.79</v>
          </cell>
          <cell r="N313">
            <v>7.67</v>
          </cell>
          <cell r="O313">
            <v>7.65</v>
          </cell>
          <cell r="P313">
            <v>6.91</v>
          </cell>
          <cell r="Q313">
            <v>6.39</v>
          </cell>
        </row>
        <row r="314">
          <cell r="A314" t="str">
            <v xml:space="preserve"> 1/30/70</v>
          </cell>
          <cell r="C314">
            <v>7.81</v>
          </cell>
          <cell r="D314">
            <v>8.1300000000000008</v>
          </cell>
          <cell r="E314">
            <v>8.25</v>
          </cell>
          <cell r="F314">
            <v>8.19</v>
          </cell>
          <cell r="G314">
            <v>8.17</v>
          </cell>
          <cell r="H314">
            <v>8.42</v>
          </cell>
          <cell r="I314">
            <v>8.5500000000000007</v>
          </cell>
          <cell r="J314">
            <v>8.5500000000000007</v>
          </cell>
          <cell r="K314">
            <v>8.5399999999999991</v>
          </cell>
          <cell r="L314">
            <v>8.2899999999999991</v>
          </cell>
          <cell r="M314">
            <v>8</v>
          </cell>
          <cell r="N314">
            <v>7.6</v>
          </cell>
          <cell r="O314">
            <v>7.19</v>
          </cell>
          <cell r="P314">
            <v>6.83</v>
          </cell>
          <cell r="Q314">
            <v>6.61</v>
          </cell>
        </row>
        <row r="315">
          <cell r="A315" t="str">
            <v xml:space="preserve"> 2/27/70</v>
          </cell>
          <cell r="C315">
            <v>6.54</v>
          </cell>
          <cell r="D315">
            <v>7.06</v>
          </cell>
          <cell r="E315">
            <v>7.13</v>
          </cell>
          <cell r="F315">
            <v>7.02</v>
          </cell>
          <cell r="G315">
            <v>6.96</v>
          </cell>
          <cell r="H315">
            <v>7.29</v>
          </cell>
          <cell r="I315">
            <v>7.46</v>
          </cell>
          <cell r="J315">
            <v>7.49</v>
          </cell>
          <cell r="K315">
            <v>7.51</v>
          </cell>
          <cell r="L315">
            <v>7.35</v>
          </cell>
          <cell r="M315">
            <v>7.16</v>
          </cell>
          <cell r="N315">
            <v>6.91</v>
          </cell>
          <cell r="O315">
            <v>6.65</v>
          </cell>
          <cell r="P315">
            <v>6.43</v>
          </cell>
          <cell r="Q315">
            <v>6.3</v>
          </cell>
        </row>
        <row r="316">
          <cell r="A316" t="str">
            <v xml:space="preserve"> 3/31/70</v>
          </cell>
          <cell r="C316">
            <v>6.65</v>
          </cell>
          <cell r="D316">
            <v>6.51</v>
          </cell>
          <cell r="E316">
            <v>6.66</v>
          </cell>
          <cell r="F316">
            <v>6.74</v>
          </cell>
          <cell r="G316">
            <v>6.78</v>
          </cell>
          <cell r="H316">
            <v>7.09</v>
          </cell>
          <cell r="I316">
            <v>7.24</v>
          </cell>
          <cell r="J316">
            <v>7.33</v>
          </cell>
          <cell r="K316">
            <v>7.37</v>
          </cell>
          <cell r="L316">
            <v>7.29</v>
          </cell>
          <cell r="M316">
            <v>7.2</v>
          </cell>
          <cell r="N316">
            <v>7.03</v>
          </cell>
          <cell r="O316">
            <v>6.84</v>
          </cell>
          <cell r="P316">
            <v>6.55</v>
          </cell>
          <cell r="Q316">
            <v>6.36</v>
          </cell>
        </row>
        <row r="317">
          <cell r="A317" t="str">
            <v xml:space="preserve"> 4/30/70</v>
          </cell>
          <cell r="C317">
            <v>6.62</v>
          </cell>
          <cell r="D317">
            <v>7.03</v>
          </cell>
          <cell r="E317">
            <v>7.45</v>
          </cell>
          <cell r="F317">
            <v>7.58</v>
          </cell>
          <cell r="G317">
            <v>7.65</v>
          </cell>
          <cell r="H317">
            <v>7.97</v>
          </cell>
          <cell r="I317">
            <v>8.14</v>
          </cell>
          <cell r="J317">
            <v>8.1199999999999992</v>
          </cell>
          <cell r="K317">
            <v>8.1199999999999992</v>
          </cell>
          <cell r="L317">
            <v>8.0500000000000007</v>
          </cell>
          <cell r="M317">
            <v>7.96</v>
          </cell>
          <cell r="N317">
            <v>7.78</v>
          </cell>
          <cell r="O317">
            <v>7.57</v>
          </cell>
          <cell r="P317">
            <v>6.92</v>
          </cell>
          <cell r="Q317">
            <v>6.5</v>
          </cell>
        </row>
        <row r="318">
          <cell r="A318" t="str">
            <v xml:space="preserve"> 5/29/70</v>
          </cell>
          <cell r="C318">
            <v>6.5</v>
          </cell>
          <cell r="D318">
            <v>7.2</v>
          </cell>
          <cell r="E318">
            <v>7.35</v>
          </cell>
          <cell r="F318">
            <v>7.5</v>
          </cell>
          <cell r="G318">
            <v>7.57</v>
          </cell>
          <cell r="H318">
            <v>8.0299999999999994</v>
          </cell>
          <cell r="I318">
            <v>8.26</v>
          </cell>
          <cell r="J318">
            <v>8.06</v>
          </cell>
          <cell r="K318">
            <v>7.95</v>
          </cell>
          <cell r="L318">
            <v>7.89</v>
          </cell>
          <cell r="M318">
            <v>7.81</v>
          </cell>
          <cell r="N318">
            <v>7.86</v>
          </cell>
          <cell r="O318">
            <v>7.96</v>
          </cell>
          <cell r="P318">
            <v>7.42</v>
          </cell>
          <cell r="Q318">
            <v>7.05</v>
          </cell>
        </row>
        <row r="319">
          <cell r="A319" t="str">
            <v xml:space="preserve"> 6/30/70</v>
          </cell>
          <cell r="C319">
            <v>6.05</v>
          </cell>
          <cell r="D319">
            <v>6.62</v>
          </cell>
          <cell r="E319">
            <v>6.87</v>
          </cell>
          <cell r="F319">
            <v>7.2</v>
          </cell>
          <cell r="G319">
            <v>7.37</v>
          </cell>
          <cell r="H319">
            <v>7.76</v>
          </cell>
          <cell r="I319">
            <v>7.96</v>
          </cell>
          <cell r="J319">
            <v>7.97</v>
          </cell>
          <cell r="K319">
            <v>7.97</v>
          </cell>
          <cell r="L319">
            <v>7.9</v>
          </cell>
          <cell r="M319">
            <v>7.82</v>
          </cell>
          <cell r="N319">
            <v>7.61</v>
          </cell>
          <cell r="O319">
            <v>7.37</v>
          </cell>
          <cell r="P319">
            <v>6.97</v>
          </cell>
          <cell r="Q319">
            <v>6.73</v>
          </cell>
        </row>
        <row r="320">
          <cell r="A320" t="str">
            <v xml:space="preserve"> 7/31/70</v>
          </cell>
          <cell r="C320">
            <v>6.23</v>
          </cell>
          <cell r="D320">
            <v>6.47</v>
          </cell>
          <cell r="E320">
            <v>6.69</v>
          </cell>
          <cell r="F320">
            <v>6.91</v>
          </cell>
          <cell r="G320">
            <v>7.02</v>
          </cell>
          <cell r="H320">
            <v>7.47</v>
          </cell>
          <cell r="I320">
            <v>7.69</v>
          </cell>
          <cell r="J320">
            <v>7.72</v>
          </cell>
          <cell r="K320">
            <v>7.74</v>
          </cell>
          <cell r="L320">
            <v>7.66</v>
          </cell>
          <cell r="M320">
            <v>7.56</v>
          </cell>
          <cell r="N320">
            <v>7.28</v>
          </cell>
          <cell r="O320">
            <v>6.94</v>
          </cell>
          <cell r="P320">
            <v>6.78</v>
          </cell>
          <cell r="Q320">
            <v>6.7</v>
          </cell>
        </row>
        <row r="321">
          <cell r="A321" t="str">
            <v xml:space="preserve"> 8/31/70</v>
          </cell>
          <cell r="C321">
            <v>6.21</v>
          </cell>
          <cell r="D321">
            <v>6.36</v>
          </cell>
          <cell r="E321">
            <v>6.71</v>
          </cell>
          <cell r="F321">
            <v>6.79</v>
          </cell>
          <cell r="G321">
            <v>6.83</v>
          </cell>
          <cell r="H321">
            <v>7.27</v>
          </cell>
          <cell r="I321">
            <v>7.49</v>
          </cell>
          <cell r="J321">
            <v>7.52</v>
          </cell>
          <cell r="K321">
            <v>7.54</v>
          </cell>
          <cell r="L321">
            <v>7.54</v>
          </cell>
          <cell r="M321">
            <v>7.54</v>
          </cell>
          <cell r="N321">
            <v>7.49</v>
          </cell>
          <cell r="O321">
            <v>7.41</v>
          </cell>
          <cell r="P321">
            <v>6.96</v>
          </cell>
          <cell r="Q321">
            <v>6.69</v>
          </cell>
        </row>
        <row r="322">
          <cell r="A322" t="str">
            <v xml:space="preserve"> 9/30/70</v>
          </cell>
          <cell r="C322">
            <v>5.62</v>
          </cell>
          <cell r="D322">
            <v>6.01</v>
          </cell>
          <cell r="E322">
            <v>6.68</v>
          </cell>
          <cell r="F322">
            <v>6.69</v>
          </cell>
          <cell r="G322">
            <v>6.7</v>
          </cell>
          <cell r="H322">
            <v>6.88</v>
          </cell>
          <cell r="I322">
            <v>6.97</v>
          </cell>
          <cell r="J322">
            <v>7.09</v>
          </cell>
          <cell r="K322">
            <v>7.15</v>
          </cell>
          <cell r="L322">
            <v>7.23</v>
          </cell>
          <cell r="M322">
            <v>7.32</v>
          </cell>
          <cell r="N322">
            <v>7.35</v>
          </cell>
          <cell r="O322">
            <v>7.36</v>
          </cell>
          <cell r="P322">
            <v>6.8</v>
          </cell>
          <cell r="Q322">
            <v>6.46</v>
          </cell>
        </row>
        <row r="323">
          <cell r="A323" t="str">
            <v>10/30/70</v>
          </cell>
          <cell r="C323">
            <v>5.38</v>
          </cell>
          <cell r="D323">
            <v>5.97</v>
          </cell>
          <cell r="E323">
            <v>6.31</v>
          </cell>
          <cell r="F323">
            <v>6.38</v>
          </cell>
          <cell r="G323">
            <v>6.42</v>
          </cell>
          <cell r="H323">
            <v>6.72</v>
          </cell>
          <cell r="I323">
            <v>6.87</v>
          </cell>
          <cell r="J323">
            <v>6.98</v>
          </cell>
          <cell r="K323">
            <v>7.03</v>
          </cell>
          <cell r="L323">
            <v>7.12</v>
          </cell>
          <cell r="M323">
            <v>7.23</v>
          </cell>
          <cell r="N323">
            <v>7.4</v>
          </cell>
          <cell r="O323">
            <v>7.58</v>
          </cell>
          <cell r="P323">
            <v>6.95</v>
          </cell>
          <cell r="Q323">
            <v>6.56</v>
          </cell>
        </row>
        <row r="324">
          <cell r="A324" t="str">
            <v>11/30/70</v>
          </cell>
          <cell r="C324">
            <v>4.57</v>
          </cell>
          <cell r="D324">
            <v>5.08</v>
          </cell>
          <cell r="E324">
            <v>5.13</v>
          </cell>
          <cell r="F324">
            <v>5.1100000000000003</v>
          </cell>
          <cell r="G324">
            <v>5.0999999999999996</v>
          </cell>
          <cell r="H324">
            <v>5.38</v>
          </cell>
          <cell r="I324">
            <v>5.51</v>
          </cell>
          <cell r="J324">
            <v>5.78</v>
          </cell>
          <cell r="K324">
            <v>5.92</v>
          </cell>
          <cell r="L324">
            <v>6.17</v>
          </cell>
          <cell r="M324">
            <v>6.46</v>
          </cell>
          <cell r="N324">
            <v>6.6</v>
          </cell>
          <cell r="O324">
            <v>6.67</v>
          </cell>
          <cell r="P324">
            <v>6.4</v>
          </cell>
          <cell r="Q324">
            <v>6.28</v>
          </cell>
        </row>
        <row r="325">
          <cell r="A325" t="str">
            <v>12/31/70</v>
          </cell>
          <cell r="C325">
            <v>4.45</v>
          </cell>
          <cell r="D325">
            <v>4.99</v>
          </cell>
          <cell r="E325">
            <v>4.9400000000000004</v>
          </cell>
          <cell r="F325">
            <v>4.99</v>
          </cell>
          <cell r="G325">
            <v>5.01</v>
          </cell>
          <cell r="H325">
            <v>5.49</v>
          </cell>
          <cell r="I325">
            <v>5.73</v>
          </cell>
          <cell r="J325">
            <v>5.85</v>
          </cell>
          <cell r="K325">
            <v>5.91</v>
          </cell>
          <cell r="L325">
            <v>6.11</v>
          </cell>
          <cell r="M325">
            <v>6.33</v>
          </cell>
          <cell r="N325">
            <v>6.56</v>
          </cell>
          <cell r="O325">
            <v>6.78</v>
          </cell>
          <cell r="P325">
            <v>6.48</v>
          </cell>
          <cell r="Q325">
            <v>6.35</v>
          </cell>
        </row>
        <row r="326">
          <cell r="A326" t="str">
            <v xml:space="preserve"> 1/29/71</v>
          </cell>
          <cell r="C326">
            <v>4.13</v>
          </cell>
          <cell r="D326">
            <v>4.21</v>
          </cell>
          <cell r="E326">
            <v>4.28</v>
          </cell>
          <cell r="F326">
            <v>4.22</v>
          </cell>
          <cell r="G326">
            <v>4.1900000000000004</v>
          </cell>
          <cell r="H326">
            <v>4.59</v>
          </cell>
          <cell r="I326">
            <v>4.79</v>
          </cell>
          <cell r="J326">
            <v>5.38</v>
          </cell>
          <cell r="K326">
            <v>5.67</v>
          </cell>
          <cell r="L326">
            <v>5.92</v>
          </cell>
          <cell r="M326">
            <v>6.2</v>
          </cell>
          <cell r="N326">
            <v>6.24</v>
          </cell>
          <cell r="O326">
            <v>6.18</v>
          </cell>
          <cell r="P326">
            <v>6.1</v>
          </cell>
          <cell r="Q326">
            <v>6.08</v>
          </cell>
        </row>
        <row r="327">
          <cell r="A327" t="str">
            <v xml:space="preserve"> 2/26/71</v>
          </cell>
          <cell r="C327">
            <v>3.2</v>
          </cell>
          <cell r="D327">
            <v>3.43</v>
          </cell>
          <cell r="E327">
            <v>3.63</v>
          </cell>
          <cell r="F327">
            <v>3.69</v>
          </cell>
          <cell r="G327">
            <v>3.72</v>
          </cell>
          <cell r="H327">
            <v>4.07</v>
          </cell>
          <cell r="I327">
            <v>4.26</v>
          </cell>
          <cell r="J327">
            <v>4.88</v>
          </cell>
          <cell r="K327">
            <v>5.19</v>
          </cell>
          <cell r="L327">
            <v>5.56</v>
          </cell>
          <cell r="M327">
            <v>5.99</v>
          </cell>
          <cell r="N327">
            <v>6.29</v>
          </cell>
          <cell r="O327">
            <v>6.51</v>
          </cell>
          <cell r="P327">
            <v>6.37</v>
          </cell>
          <cell r="Q327">
            <v>6.31</v>
          </cell>
        </row>
        <row r="328">
          <cell r="A328" t="str">
            <v xml:space="preserve"> 3/31/71</v>
          </cell>
          <cell r="C328">
            <v>3.43</v>
          </cell>
          <cell r="D328">
            <v>3.75</v>
          </cell>
          <cell r="E328">
            <v>3.66</v>
          </cell>
          <cell r="F328">
            <v>3.77</v>
          </cell>
          <cell r="G328">
            <v>3.83</v>
          </cell>
          <cell r="H328">
            <v>3.98</v>
          </cell>
          <cell r="I328">
            <v>4.0599999999999996</v>
          </cell>
          <cell r="J328">
            <v>4.62</v>
          </cell>
          <cell r="K328">
            <v>4.9000000000000004</v>
          </cell>
          <cell r="L328">
            <v>5.19</v>
          </cell>
          <cell r="M328">
            <v>5.51</v>
          </cell>
          <cell r="N328">
            <v>5.74</v>
          </cell>
          <cell r="O328">
            <v>5.91</v>
          </cell>
          <cell r="P328">
            <v>5.97</v>
          </cell>
          <cell r="Q328">
            <v>5.99</v>
          </cell>
        </row>
        <row r="329">
          <cell r="A329" t="str">
            <v xml:space="preserve"> 4/30/71</v>
          </cell>
          <cell r="C329">
            <v>3.8</v>
          </cell>
          <cell r="D329">
            <v>4.01</v>
          </cell>
          <cell r="E329">
            <v>4.3099999999999996</v>
          </cell>
          <cell r="F329">
            <v>4.54</v>
          </cell>
          <cell r="G329">
            <v>4.66</v>
          </cell>
          <cell r="H329">
            <v>5.08</v>
          </cell>
          <cell r="I329">
            <v>5.3</v>
          </cell>
          <cell r="J329">
            <v>5.76</v>
          </cell>
          <cell r="K329">
            <v>5.99</v>
          </cell>
          <cell r="L329">
            <v>6.12</v>
          </cell>
          <cell r="M329">
            <v>6.27</v>
          </cell>
          <cell r="N329">
            <v>6.23</v>
          </cell>
          <cell r="O329">
            <v>6.11</v>
          </cell>
          <cell r="P329">
            <v>6.1</v>
          </cell>
          <cell r="Q329">
            <v>6.1</v>
          </cell>
        </row>
        <row r="330">
          <cell r="A330" t="str">
            <v xml:space="preserve"> 5/28/71</v>
          </cell>
          <cell r="C330">
            <v>4.0999999999999996</v>
          </cell>
          <cell r="D330">
            <v>4.42</v>
          </cell>
          <cell r="E330">
            <v>4.4800000000000004</v>
          </cell>
          <cell r="F330">
            <v>4.84</v>
          </cell>
          <cell r="G330">
            <v>5.0199999999999996</v>
          </cell>
          <cell r="H330">
            <v>5.48</v>
          </cell>
          <cell r="I330">
            <v>5.72</v>
          </cell>
          <cell r="J330">
            <v>5.88</v>
          </cell>
          <cell r="K330">
            <v>5.97</v>
          </cell>
          <cell r="L330">
            <v>6.22</v>
          </cell>
          <cell r="M330">
            <v>6.51</v>
          </cell>
          <cell r="N330">
            <v>6.53</v>
          </cell>
          <cell r="O330">
            <v>6.42</v>
          </cell>
          <cell r="P330">
            <v>6.25</v>
          </cell>
          <cell r="Q330">
            <v>6.2</v>
          </cell>
        </row>
        <row r="331">
          <cell r="A331" t="str">
            <v xml:space="preserve"> 6/30/71</v>
          </cell>
          <cell r="C331">
            <v>4.95</v>
          </cell>
          <cell r="D331">
            <v>5.13</v>
          </cell>
          <cell r="E331">
            <v>5.36</v>
          </cell>
          <cell r="F331">
            <v>5.92</v>
          </cell>
          <cell r="G331">
            <v>6.2</v>
          </cell>
          <cell r="H331">
            <v>6.47</v>
          </cell>
          <cell r="I331">
            <v>6.6</v>
          </cell>
          <cell r="J331">
            <v>6.78</v>
          </cell>
          <cell r="K331">
            <v>6.87</v>
          </cell>
          <cell r="L331">
            <v>6.9</v>
          </cell>
          <cell r="M331">
            <v>6.95</v>
          </cell>
          <cell r="N331">
            <v>6.75</v>
          </cell>
          <cell r="O331">
            <v>6.48</v>
          </cell>
          <cell r="P331">
            <v>6.32</v>
          </cell>
          <cell r="Q331">
            <v>6.29</v>
          </cell>
        </row>
        <row r="332">
          <cell r="A332" t="str">
            <v xml:space="preserve"> 7/30/71</v>
          </cell>
          <cell r="C332">
            <v>5.17</v>
          </cell>
          <cell r="D332">
            <v>5.2</v>
          </cell>
          <cell r="E332">
            <v>5.78</v>
          </cell>
          <cell r="F332">
            <v>6.04</v>
          </cell>
          <cell r="G332">
            <v>6.17</v>
          </cell>
          <cell r="H332">
            <v>6.46</v>
          </cell>
          <cell r="I332">
            <v>6.61</v>
          </cell>
          <cell r="J332">
            <v>6.87</v>
          </cell>
          <cell r="K332">
            <v>7</v>
          </cell>
          <cell r="L332">
            <v>7.05</v>
          </cell>
          <cell r="M332">
            <v>7.11</v>
          </cell>
          <cell r="N332">
            <v>6.97</v>
          </cell>
          <cell r="O332">
            <v>6.76</v>
          </cell>
          <cell r="P332">
            <v>6.24</v>
          </cell>
          <cell r="Q332">
            <v>6.1</v>
          </cell>
        </row>
        <row r="333">
          <cell r="A333" t="str">
            <v xml:space="preserve"> 8/31/71</v>
          </cell>
          <cell r="C333">
            <v>4.5199999999999996</v>
          </cell>
          <cell r="D333">
            <v>4.41</v>
          </cell>
          <cell r="E333">
            <v>4.8</v>
          </cell>
          <cell r="F333">
            <v>5.17</v>
          </cell>
          <cell r="G333">
            <v>5.36</v>
          </cell>
          <cell r="H333">
            <v>5.57</v>
          </cell>
          <cell r="I333">
            <v>5.67</v>
          </cell>
          <cell r="J333">
            <v>5.79</v>
          </cell>
          <cell r="K333">
            <v>5.85</v>
          </cell>
          <cell r="L333">
            <v>6.06</v>
          </cell>
          <cell r="M333">
            <v>6.3</v>
          </cell>
          <cell r="N333">
            <v>6.43</v>
          </cell>
          <cell r="O333">
            <v>6.49</v>
          </cell>
          <cell r="P333">
            <v>5.98</v>
          </cell>
          <cell r="Q333">
            <v>5.84</v>
          </cell>
        </row>
        <row r="334">
          <cell r="A334" t="str">
            <v xml:space="preserve"> 9/30/71</v>
          </cell>
          <cell r="C334">
            <v>4.57</v>
          </cell>
          <cell r="D334">
            <v>4.6100000000000003</v>
          </cell>
          <cell r="E334">
            <v>5</v>
          </cell>
          <cell r="F334">
            <v>5.21</v>
          </cell>
          <cell r="G334">
            <v>5.31</v>
          </cell>
          <cell r="H334">
            <v>5.49</v>
          </cell>
          <cell r="I334">
            <v>5.58</v>
          </cell>
          <cell r="J334">
            <v>5.81</v>
          </cell>
          <cell r="K334">
            <v>5.92</v>
          </cell>
          <cell r="L334">
            <v>6.01</v>
          </cell>
          <cell r="M334">
            <v>6.11</v>
          </cell>
          <cell r="N334">
            <v>6.12</v>
          </cell>
          <cell r="O334">
            <v>6.1</v>
          </cell>
          <cell r="P334">
            <v>5.88</v>
          </cell>
          <cell r="Q334">
            <v>5.82</v>
          </cell>
        </row>
        <row r="335">
          <cell r="A335" t="str">
            <v>10/29/71</v>
          </cell>
          <cell r="C335">
            <v>4.13</v>
          </cell>
          <cell r="D335">
            <v>4.43</v>
          </cell>
          <cell r="E335">
            <v>4.5</v>
          </cell>
          <cell r="F335">
            <v>4.55</v>
          </cell>
          <cell r="G335">
            <v>4.57</v>
          </cell>
          <cell r="H335">
            <v>4.88</v>
          </cell>
          <cell r="I335">
            <v>5.04</v>
          </cell>
          <cell r="J335">
            <v>5.34</v>
          </cell>
          <cell r="K335">
            <v>5.49</v>
          </cell>
          <cell r="L335">
            <v>5.68</v>
          </cell>
          <cell r="M335">
            <v>5.91</v>
          </cell>
          <cell r="N335">
            <v>6.01</v>
          </cell>
          <cell r="O335">
            <v>6.05</v>
          </cell>
          <cell r="P335">
            <v>5.86</v>
          </cell>
          <cell r="Q335">
            <v>5.81</v>
          </cell>
        </row>
        <row r="336">
          <cell r="A336" t="str">
            <v>11/30/71</v>
          </cell>
          <cell r="C336">
            <v>4.0199999999999996</v>
          </cell>
          <cell r="D336">
            <v>4.38</v>
          </cell>
          <cell r="E336">
            <v>4.5199999999999996</v>
          </cell>
          <cell r="F336">
            <v>4.67</v>
          </cell>
          <cell r="G336">
            <v>4.75</v>
          </cell>
          <cell r="H336">
            <v>4.9800000000000004</v>
          </cell>
          <cell r="I336">
            <v>5.09</v>
          </cell>
          <cell r="J336">
            <v>5.42</v>
          </cell>
          <cell r="K336">
            <v>5.59</v>
          </cell>
          <cell r="L336">
            <v>5.79</v>
          </cell>
          <cell r="M336">
            <v>6.02</v>
          </cell>
          <cell r="N336">
            <v>6</v>
          </cell>
          <cell r="O336">
            <v>5.87</v>
          </cell>
          <cell r="P336">
            <v>5.94</v>
          </cell>
          <cell r="Q336">
            <v>5.96</v>
          </cell>
        </row>
        <row r="337">
          <cell r="A337" t="str">
            <v>12/31/71</v>
          </cell>
          <cell r="C337">
            <v>3.36</v>
          </cell>
          <cell r="D337">
            <v>3.74</v>
          </cell>
          <cell r="E337">
            <v>4.03</v>
          </cell>
          <cell r="F337">
            <v>4.1900000000000004</v>
          </cell>
          <cell r="G337">
            <v>4.2699999999999996</v>
          </cell>
          <cell r="H337">
            <v>4.6900000000000004</v>
          </cell>
          <cell r="I337">
            <v>4.9000000000000004</v>
          </cell>
          <cell r="J337">
            <v>5.14</v>
          </cell>
          <cell r="K337">
            <v>5.26</v>
          </cell>
          <cell r="L337">
            <v>5.55</v>
          </cell>
          <cell r="M337">
            <v>5.88</v>
          </cell>
          <cell r="N337">
            <v>6.1</v>
          </cell>
          <cell r="O337">
            <v>6.25</v>
          </cell>
          <cell r="P337">
            <v>5.97</v>
          </cell>
          <cell r="Q337">
            <v>5.9</v>
          </cell>
        </row>
        <row r="338">
          <cell r="A338" t="str">
            <v xml:space="preserve"> 1/31/72</v>
          </cell>
          <cell r="C338">
            <v>3.16</v>
          </cell>
          <cell r="D338">
            <v>3.41</v>
          </cell>
          <cell r="E338">
            <v>3.72</v>
          </cell>
          <cell r="F338">
            <v>4.03</v>
          </cell>
          <cell r="G338">
            <v>4.18</v>
          </cell>
          <cell r="H338">
            <v>4.6399999999999997</v>
          </cell>
          <cell r="I338">
            <v>4.87</v>
          </cell>
          <cell r="J338">
            <v>5.32</v>
          </cell>
          <cell r="K338">
            <v>5.55</v>
          </cell>
          <cell r="L338">
            <v>5.8</v>
          </cell>
          <cell r="M338">
            <v>6.09</v>
          </cell>
          <cell r="N338">
            <v>6.28</v>
          </cell>
          <cell r="O338">
            <v>6.42</v>
          </cell>
          <cell r="P338">
            <v>6</v>
          </cell>
          <cell r="Q338">
            <v>5.91</v>
          </cell>
        </row>
        <row r="339">
          <cell r="A339" t="str">
            <v xml:space="preserve"> 2/29/72</v>
          </cell>
          <cell r="C339">
            <v>3.28</v>
          </cell>
          <cell r="D339">
            <v>3.41</v>
          </cell>
          <cell r="E339">
            <v>3.79</v>
          </cell>
          <cell r="F339">
            <v>4.09</v>
          </cell>
          <cell r="G339">
            <v>4.24</v>
          </cell>
          <cell r="H339">
            <v>4.62</v>
          </cell>
          <cell r="I339">
            <v>4.8099999999999996</v>
          </cell>
          <cell r="J339">
            <v>5.29</v>
          </cell>
          <cell r="K339">
            <v>5.53</v>
          </cell>
          <cell r="L339">
            <v>5.76</v>
          </cell>
          <cell r="M339">
            <v>6.03</v>
          </cell>
          <cell r="N339">
            <v>6.25</v>
          </cell>
          <cell r="O339">
            <v>6.43</v>
          </cell>
          <cell r="P339">
            <v>5.93</v>
          </cell>
          <cell r="Q339">
            <v>5.84</v>
          </cell>
        </row>
        <row r="340">
          <cell r="A340" t="str">
            <v xml:space="preserve"> 3/30/72</v>
          </cell>
          <cell r="C340">
            <v>3.46</v>
          </cell>
          <cell r="D340">
            <v>3.87</v>
          </cell>
          <cell r="E340">
            <v>4.49</v>
          </cell>
          <cell r="F340">
            <v>4.82</v>
          </cell>
          <cell r="G340">
            <v>4.99</v>
          </cell>
          <cell r="H340">
            <v>5.4</v>
          </cell>
          <cell r="I340">
            <v>5.61</v>
          </cell>
          <cell r="J340">
            <v>5.88</v>
          </cell>
          <cell r="K340">
            <v>6.01</v>
          </cell>
          <cell r="L340">
            <v>6.08</v>
          </cell>
          <cell r="M340">
            <v>6.17</v>
          </cell>
          <cell r="N340">
            <v>6.25</v>
          </cell>
          <cell r="O340">
            <v>6.32</v>
          </cell>
          <cell r="P340">
            <v>6.01</v>
          </cell>
          <cell r="Q340">
            <v>5.95</v>
          </cell>
        </row>
        <row r="341">
          <cell r="A341" t="str">
            <v xml:space="preserve"> 4/28/72</v>
          </cell>
          <cell r="C341">
            <v>3.28</v>
          </cell>
          <cell r="D341">
            <v>3.64</v>
          </cell>
          <cell r="E341">
            <v>4.12</v>
          </cell>
          <cell r="F341">
            <v>4.3499999999999996</v>
          </cell>
          <cell r="G341">
            <v>4.47</v>
          </cell>
          <cell r="H341">
            <v>4.93</v>
          </cell>
          <cell r="I341">
            <v>5.16</v>
          </cell>
          <cell r="J341">
            <v>5.56</v>
          </cell>
          <cell r="K341">
            <v>5.76</v>
          </cell>
          <cell r="L341">
            <v>5.92</v>
          </cell>
          <cell r="M341">
            <v>6.1</v>
          </cell>
          <cell r="N341">
            <v>6.24</v>
          </cell>
          <cell r="O341">
            <v>6.36</v>
          </cell>
          <cell r="P341">
            <v>6.06</v>
          </cell>
          <cell r="Q341">
            <v>6.02</v>
          </cell>
        </row>
        <row r="342">
          <cell r="A342" t="str">
            <v xml:space="preserve"> 5/31/72</v>
          </cell>
          <cell r="C342">
            <v>3.51</v>
          </cell>
          <cell r="D342">
            <v>3.8</v>
          </cell>
          <cell r="E342">
            <v>4.1900000000000004</v>
          </cell>
          <cell r="F342">
            <v>4.46</v>
          </cell>
          <cell r="G342">
            <v>4.5999999999999996</v>
          </cell>
          <cell r="H342">
            <v>4.8499999999999996</v>
          </cell>
          <cell r="I342">
            <v>4.9800000000000004</v>
          </cell>
          <cell r="J342">
            <v>5.41</v>
          </cell>
          <cell r="K342">
            <v>5.62</v>
          </cell>
          <cell r="L342">
            <v>5.8</v>
          </cell>
          <cell r="M342">
            <v>6.01</v>
          </cell>
          <cell r="N342">
            <v>6.18</v>
          </cell>
          <cell r="O342">
            <v>6.32</v>
          </cell>
          <cell r="P342">
            <v>5.88</v>
          </cell>
          <cell r="Q342">
            <v>5.81</v>
          </cell>
        </row>
        <row r="343">
          <cell r="A343" t="str">
            <v xml:space="preserve"> 6/30/72</v>
          </cell>
          <cell r="C343">
            <v>3.62</v>
          </cell>
          <cell r="D343">
            <v>4.0599999999999996</v>
          </cell>
          <cell r="E343">
            <v>4.6500000000000004</v>
          </cell>
          <cell r="F343">
            <v>5.03</v>
          </cell>
          <cell r="G343">
            <v>5.23</v>
          </cell>
          <cell r="H343">
            <v>5.39</v>
          </cell>
          <cell r="I343">
            <v>5.48</v>
          </cell>
          <cell r="J343">
            <v>5.77</v>
          </cell>
          <cell r="K343">
            <v>5.91</v>
          </cell>
          <cell r="L343">
            <v>6.01</v>
          </cell>
          <cell r="M343">
            <v>6.12</v>
          </cell>
          <cell r="N343">
            <v>6.22</v>
          </cell>
          <cell r="O343">
            <v>6.29</v>
          </cell>
          <cell r="P343">
            <v>5.94</v>
          </cell>
          <cell r="Q343">
            <v>5.89</v>
          </cell>
        </row>
        <row r="344">
          <cell r="A344" t="str">
            <v xml:space="preserve"> 7/31/72</v>
          </cell>
          <cell r="C344">
            <v>3.53</v>
          </cell>
          <cell r="D344">
            <v>3.83</v>
          </cell>
          <cell r="E344">
            <v>4.3899999999999997</v>
          </cell>
          <cell r="F344">
            <v>4.74</v>
          </cell>
          <cell r="G344">
            <v>4.92</v>
          </cell>
          <cell r="H344">
            <v>5.18</v>
          </cell>
          <cell r="I344">
            <v>5.31</v>
          </cell>
          <cell r="J344">
            <v>5.72</v>
          </cell>
          <cell r="K344">
            <v>5.93</v>
          </cell>
          <cell r="L344">
            <v>6.02</v>
          </cell>
          <cell r="M344">
            <v>6.13</v>
          </cell>
          <cell r="N344">
            <v>6.25</v>
          </cell>
          <cell r="O344">
            <v>6.36</v>
          </cell>
          <cell r="P344">
            <v>5.9</v>
          </cell>
          <cell r="Q344">
            <v>5.9</v>
          </cell>
        </row>
        <row r="345">
          <cell r="A345" t="str">
            <v xml:space="preserve"> 8/31/72</v>
          </cell>
          <cell r="C345">
            <v>4.3600000000000003</v>
          </cell>
          <cell r="D345">
            <v>4.42</v>
          </cell>
          <cell r="E345">
            <v>4.9800000000000004</v>
          </cell>
          <cell r="F345">
            <v>5.31</v>
          </cell>
          <cell r="G345">
            <v>5.47</v>
          </cell>
          <cell r="H345">
            <v>5.58</v>
          </cell>
          <cell r="I345">
            <v>5.63</v>
          </cell>
          <cell r="J345">
            <v>5.96</v>
          </cell>
          <cell r="K345">
            <v>6.13</v>
          </cell>
          <cell r="L345">
            <v>6.23</v>
          </cell>
          <cell r="M345">
            <v>6.36</v>
          </cell>
          <cell r="N345">
            <v>6.45</v>
          </cell>
          <cell r="O345">
            <v>6.53</v>
          </cell>
          <cell r="P345" t="e">
            <v>#N/A</v>
          </cell>
          <cell r="Q345">
            <v>5.83</v>
          </cell>
        </row>
        <row r="346">
          <cell r="A346" t="str">
            <v xml:space="preserve"> 9/29/72</v>
          </cell>
          <cell r="C346">
            <v>4.55</v>
          </cell>
          <cell r="D346">
            <v>4.67</v>
          </cell>
          <cell r="E346">
            <v>5.32</v>
          </cell>
          <cell r="F346">
            <v>5.59</v>
          </cell>
          <cell r="G346">
            <v>5.72</v>
          </cell>
          <cell r="H346">
            <v>5.86</v>
          </cell>
          <cell r="I346">
            <v>5.93</v>
          </cell>
          <cell r="J346">
            <v>6.03</v>
          </cell>
          <cell r="K346">
            <v>6.08</v>
          </cell>
          <cell r="L346">
            <v>6.24</v>
          </cell>
          <cell r="M346">
            <v>6.43</v>
          </cell>
          <cell r="N346">
            <v>6.59</v>
          </cell>
          <cell r="O346">
            <v>6.73</v>
          </cell>
          <cell r="P346" t="e">
            <v>#N/A</v>
          </cell>
          <cell r="Q346">
            <v>5.92</v>
          </cell>
        </row>
        <row r="347">
          <cell r="A347" t="str">
            <v>10/31/72</v>
          </cell>
          <cell r="C347">
            <v>4.58</v>
          </cell>
          <cell r="D347">
            <v>4.82</v>
          </cell>
          <cell r="E347">
            <v>5.23</v>
          </cell>
          <cell r="F347">
            <v>5.43</v>
          </cell>
          <cell r="G347">
            <v>5.54</v>
          </cell>
          <cell r="H347">
            <v>5.76</v>
          </cell>
          <cell r="I347">
            <v>5.88</v>
          </cell>
          <cell r="J347">
            <v>6.04</v>
          </cell>
          <cell r="K347">
            <v>6.12</v>
          </cell>
          <cell r="L347">
            <v>6.24</v>
          </cell>
          <cell r="M347">
            <v>6.38</v>
          </cell>
          <cell r="N347">
            <v>6.46</v>
          </cell>
          <cell r="O347">
            <v>6.51</v>
          </cell>
          <cell r="P347">
            <v>5.61</v>
          </cell>
          <cell r="Q347">
            <v>5.56</v>
          </cell>
        </row>
        <row r="348">
          <cell r="A348" t="str">
            <v>11/30/72</v>
          </cell>
          <cell r="C348">
            <v>4.8099999999999996</v>
          </cell>
          <cell r="D348">
            <v>4.92</v>
          </cell>
          <cell r="E348">
            <v>5.3</v>
          </cell>
          <cell r="F348">
            <v>5.38</v>
          </cell>
          <cell r="G348">
            <v>5.42</v>
          </cell>
          <cell r="H348">
            <v>5.61</v>
          </cell>
          <cell r="I348">
            <v>5.7</v>
          </cell>
          <cell r="J348">
            <v>5.92</v>
          </cell>
          <cell r="K348">
            <v>6.04</v>
          </cell>
          <cell r="L348">
            <v>6.13</v>
          </cell>
          <cell r="M348">
            <v>6.24</v>
          </cell>
          <cell r="N348">
            <v>6.34</v>
          </cell>
          <cell r="O348">
            <v>6.42</v>
          </cell>
          <cell r="P348">
            <v>5.4</v>
          </cell>
          <cell r="Q348">
            <v>5.35</v>
          </cell>
        </row>
        <row r="349">
          <cell r="A349" t="str">
            <v>12/29/72</v>
          </cell>
          <cell r="C349">
            <v>4.88</v>
          </cell>
          <cell r="D349">
            <v>5.24</v>
          </cell>
          <cell r="E349">
            <v>5.54</v>
          </cell>
          <cell r="F349">
            <v>5.6</v>
          </cell>
          <cell r="G349">
            <v>5.62</v>
          </cell>
          <cell r="H349">
            <v>5.85</v>
          </cell>
          <cell r="I349">
            <v>5.96</v>
          </cell>
          <cell r="J349">
            <v>6.08</v>
          </cell>
          <cell r="K349">
            <v>6.15</v>
          </cell>
          <cell r="L349">
            <v>6.24</v>
          </cell>
          <cell r="M349">
            <v>6.34</v>
          </cell>
          <cell r="N349">
            <v>6.4</v>
          </cell>
          <cell r="O349">
            <v>6.44</v>
          </cell>
          <cell r="P349">
            <v>5.66</v>
          </cell>
          <cell r="Q349">
            <v>5.64</v>
          </cell>
        </row>
        <row r="350">
          <cell r="A350" t="str">
            <v xml:space="preserve"> 1/31/73</v>
          </cell>
          <cell r="C350">
            <v>5.48</v>
          </cell>
          <cell r="D350">
            <v>5.86</v>
          </cell>
          <cell r="E350">
            <v>6.03</v>
          </cell>
          <cell r="F350">
            <v>6.14</v>
          </cell>
          <cell r="G350">
            <v>6.2</v>
          </cell>
          <cell r="H350">
            <v>6.31</v>
          </cell>
          <cell r="I350">
            <v>6.37</v>
          </cell>
          <cell r="J350">
            <v>6.43</v>
          </cell>
          <cell r="K350">
            <v>6.47</v>
          </cell>
          <cell r="L350">
            <v>6.44</v>
          </cell>
          <cell r="M350">
            <v>6.4</v>
          </cell>
          <cell r="N350">
            <v>6.52</v>
          </cell>
          <cell r="O350">
            <v>6.68</v>
          </cell>
          <cell r="P350">
            <v>7.12</v>
          </cell>
          <cell r="Q350">
            <v>7.12</v>
          </cell>
        </row>
        <row r="351">
          <cell r="A351" t="str">
            <v xml:space="preserve"> 2/28/73</v>
          </cell>
          <cell r="C351">
            <v>5.67</v>
          </cell>
          <cell r="D351">
            <v>6</v>
          </cell>
          <cell r="E351">
            <v>6.21</v>
          </cell>
          <cell r="F351">
            <v>6.34</v>
          </cell>
          <cell r="G351">
            <v>6.41</v>
          </cell>
          <cell r="H351">
            <v>6.65</v>
          </cell>
          <cell r="I351">
            <v>6.77</v>
          </cell>
          <cell r="J351">
            <v>6.78</v>
          </cell>
          <cell r="K351">
            <v>6.79</v>
          </cell>
          <cell r="L351">
            <v>6.71</v>
          </cell>
          <cell r="M351">
            <v>6.63</v>
          </cell>
          <cell r="N351">
            <v>6.62</v>
          </cell>
          <cell r="O351">
            <v>6.65</v>
          </cell>
          <cell r="P351" t="e">
            <v>#N/A</v>
          </cell>
          <cell r="Q351">
            <v>7.1</v>
          </cell>
        </row>
        <row r="352">
          <cell r="A352" t="str">
            <v xml:space="preserve"> 3/30/73</v>
          </cell>
          <cell r="C352">
            <v>6.1</v>
          </cell>
          <cell r="D352">
            <v>6.58</v>
          </cell>
          <cell r="E352">
            <v>6.99</v>
          </cell>
          <cell r="F352">
            <v>7.03</v>
          </cell>
          <cell r="G352">
            <v>7.05</v>
          </cell>
          <cell r="H352">
            <v>7.01</v>
          </cell>
          <cell r="I352">
            <v>6.99</v>
          </cell>
          <cell r="J352">
            <v>6.85</v>
          </cell>
          <cell r="K352">
            <v>6.77</v>
          </cell>
          <cell r="L352">
            <v>6.75</v>
          </cell>
          <cell r="M352">
            <v>6.73</v>
          </cell>
          <cell r="N352">
            <v>6.67</v>
          </cell>
          <cell r="O352">
            <v>6.61</v>
          </cell>
          <cell r="P352" t="e">
            <v>#N/A</v>
          </cell>
          <cell r="Q352">
            <v>7.03</v>
          </cell>
        </row>
        <row r="353">
          <cell r="A353" t="str">
            <v xml:space="preserve"> 4/30/73</v>
          </cell>
          <cell r="C353">
            <v>6.06</v>
          </cell>
          <cell r="D353">
            <v>6.53</v>
          </cell>
          <cell r="E353">
            <v>6.73</v>
          </cell>
          <cell r="F353">
            <v>6.8</v>
          </cell>
          <cell r="G353">
            <v>6.83</v>
          </cell>
          <cell r="H353">
            <v>6.83</v>
          </cell>
          <cell r="I353">
            <v>6.83</v>
          </cell>
          <cell r="J353">
            <v>6.76</v>
          </cell>
          <cell r="K353">
            <v>6.73</v>
          </cell>
          <cell r="L353">
            <v>6.72</v>
          </cell>
          <cell r="M353">
            <v>6.71</v>
          </cell>
          <cell r="N353">
            <v>6.69</v>
          </cell>
          <cell r="O353">
            <v>6.66</v>
          </cell>
          <cell r="P353" t="e">
            <v>#N/A</v>
          </cell>
          <cell r="Q353">
            <v>7.05</v>
          </cell>
        </row>
        <row r="354">
          <cell r="A354" t="str">
            <v xml:space="preserve"> 5/31/73</v>
          </cell>
          <cell r="C354">
            <v>6.66</v>
          </cell>
          <cell r="D354">
            <v>7.16</v>
          </cell>
          <cell r="E354">
            <v>7.2</v>
          </cell>
          <cell r="F354">
            <v>7.23</v>
          </cell>
          <cell r="G354">
            <v>7.24</v>
          </cell>
          <cell r="H354">
            <v>7.07</v>
          </cell>
          <cell r="I354">
            <v>6.98</v>
          </cell>
          <cell r="J354">
            <v>6.78</v>
          </cell>
          <cell r="K354">
            <v>6.68</v>
          </cell>
          <cell r="L354">
            <v>6.75</v>
          </cell>
          <cell r="M354">
            <v>6.83</v>
          </cell>
          <cell r="N354">
            <v>6.86</v>
          </cell>
          <cell r="O354">
            <v>6.86</v>
          </cell>
          <cell r="P354">
            <v>7.12</v>
          </cell>
          <cell r="Q354">
            <v>7.33</v>
          </cell>
        </row>
        <row r="355">
          <cell r="A355" t="str">
            <v xml:space="preserve"> 6/29/73</v>
          </cell>
          <cell r="C355">
            <v>7.57</v>
          </cell>
          <cell r="D355">
            <v>7.71</v>
          </cell>
          <cell r="E355">
            <v>7.91</v>
          </cell>
          <cell r="F355">
            <v>7.92</v>
          </cell>
          <cell r="G355">
            <v>7.92</v>
          </cell>
          <cell r="H355">
            <v>7.41</v>
          </cell>
          <cell r="I355">
            <v>7.16</v>
          </cell>
          <cell r="J355">
            <v>6.99</v>
          </cell>
          <cell r="K355">
            <v>6.91</v>
          </cell>
          <cell r="L355">
            <v>6.87</v>
          </cell>
          <cell r="M355">
            <v>6.82</v>
          </cell>
          <cell r="N355">
            <v>6.85</v>
          </cell>
          <cell r="O355">
            <v>6.92</v>
          </cell>
          <cell r="P355">
            <v>7.2</v>
          </cell>
          <cell r="Q355">
            <v>7.41</v>
          </cell>
        </row>
        <row r="356">
          <cell r="A356" t="str">
            <v xml:space="preserve"> 7/31/73</v>
          </cell>
          <cell r="C356">
            <v>8.4700000000000006</v>
          </cell>
          <cell r="D356">
            <v>8.5399999999999991</v>
          </cell>
          <cell r="E356">
            <v>8.7100000000000009</v>
          </cell>
          <cell r="F356">
            <v>9.01</v>
          </cell>
          <cell r="G356">
            <v>9.16</v>
          </cell>
          <cell r="H356">
            <v>8.5299999999999994</v>
          </cell>
          <cell r="I356">
            <v>8.2100000000000009</v>
          </cell>
          <cell r="J356">
            <v>8.06</v>
          </cell>
          <cell r="K356">
            <v>7.99</v>
          </cell>
          <cell r="L356">
            <v>7.73</v>
          </cell>
          <cell r="M356">
            <v>7.43</v>
          </cell>
          <cell r="N356">
            <v>7.29</v>
          </cell>
          <cell r="O356">
            <v>7.21</v>
          </cell>
          <cell r="P356">
            <v>7.65</v>
          </cell>
          <cell r="Q356">
            <v>8</v>
          </cell>
        </row>
        <row r="357">
          <cell r="A357" t="str">
            <v xml:space="preserve"> 8/31/73</v>
          </cell>
          <cell r="C357">
            <v>8.73</v>
          </cell>
          <cell r="D357">
            <v>8.8000000000000007</v>
          </cell>
          <cell r="E357">
            <v>8.89</v>
          </cell>
          <cell r="F357">
            <v>8.7899999999999991</v>
          </cell>
          <cell r="G357">
            <v>8.74</v>
          </cell>
          <cell r="H357">
            <v>8.17</v>
          </cell>
          <cell r="I357">
            <v>7.88</v>
          </cell>
          <cell r="J357">
            <v>7.46</v>
          </cell>
          <cell r="K357">
            <v>7.25</v>
          </cell>
          <cell r="L357">
            <v>7.17</v>
          </cell>
          <cell r="M357">
            <v>7.08</v>
          </cell>
          <cell r="N357">
            <v>7.11</v>
          </cell>
          <cell r="O357">
            <v>7.18</v>
          </cell>
          <cell r="P357">
            <v>7.32</v>
          </cell>
          <cell r="Q357">
            <v>7.42</v>
          </cell>
        </row>
        <row r="358">
          <cell r="A358" t="str">
            <v xml:space="preserve"> 9/28/73</v>
          </cell>
          <cell r="C358">
            <v>7.3</v>
          </cell>
          <cell r="D358">
            <v>7.22</v>
          </cell>
          <cell r="E358">
            <v>7.99</v>
          </cell>
          <cell r="F358">
            <v>7.87</v>
          </cell>
          <cell r="G358">
            <v>7.81</v>
          </cell>
          <cell r="H358">
            <v>7.3</v>
          </cell>
          <cell r="I358">
            <v>7.04</v>
          </cell>
          <cell r="J358">
            <v>6.8</v>
          </cell>
          <cell r="K358">
            <v>6.67</v>
          </cell>
          <cell r="L358">
            <v>6.72</v>
          </cell>
          <cell r="M358">
            <v>6.78</v>
          </cell>
          <cell r="N358">
            <v>6.9</v>
          </cell>
          <cell r="O358">
            <v>7.04</v>
          </cell>
          <cell r="P358">
            <v>7.11</v>
          </cell>
          <cell r="Q358">
            <v>7.15</v>
          </cell>
        </row>
        <row r="359">
          <cell r="A359" t="str">
            <v>10/31/73</v>
          </cell>
          <cell r="C359">
            <v>7.09</v>
          </cell>
          <cell r="D359">
            <v>7.56</v>
          </cell>
          <cell r="E359">
            <v>7.69</v>
          </cell>
          <cell r="F359">
            <v>7.45</v>
          </cell>
          <cell r="G359">
            <v>7.33</v>
          </cell>
          <cell r="H359">
            <v>6.97</v>
          </cell>
          <cell r="I359">
            <v>6.79</v>
          </cell>
          <cell r="J359">
            <v>6.82</v>
          </cell>
          <cell r="K359">
            <v>6.83</v>
          </cell>
          <cell r="L359">
            <v>6.77</v>
          </cell>
          <cell r="M359">
            <v>6.69</v>
          </cell>
          <cell r="N359">
            <v>6.87</v>
          </cell>
          <cell r="O359">
            <v>7.14</v>
          </cell>
          <cell r="P359">
            <v>7.18</v>
          </cell>
          <cell r="Q359">
            <v>7.18</v>
          </cell>
        </row>
        <row r="360">
          <cell r="A360" t="str">
            <v>11/30/73</v>
          </cell>
          <cell r="C360">
            <v>7.64</v>
          </cell>
          <cell r="D360">
            <v>7.72</v>
          </cell>
          <cell r="E360">
            <v>8.27</v>
          </cell>
          <cell r="F360">
            <v>7.83</v>
          </cell>
          <cell r="G360">
            <v>7.61</v>
          </cell>
          <cell r="H360">
            <v>7.07</v>
          </cell>
          <cell r="I360">
            <v>6.8</v>
          </cell>
          <cell r="J360">
            <v>6.82</v>
          </cell>
          <cell r="K360">
            <v>6.83</v>
          </cell>
          <cell r="L360">
            <v>6.75</v>
          </cell>
          <cell r="M360">
            <v>6.66</v>
          </cell>
          <cell r="N360">
            <v>6.88</v>
          </cell>
          <cell r="O360">
            <v>7.22</v>
          </cell>
          <cell r="P360">
            <v>7.27</v>
          </cell>
          <cell r="Q360">
            <v>7.28</v>
          </cell>
        </row>
        <row r="361">
          <cell r="A361" t="str">
            <v>12/31/73</v>
          </cell>
          <cell r="C361">
            <v>7.5</v>
          </cell>
          <cell r="D361">
            <v>7.73</v>
          </cell>
          <cell r="E361">
            <v>7.85</v>
          </cell>
          <cell r="F361">
            <v>7.53</v>
          </cell>
          <cell r="G361">
            <v>7.38</v>
          </cell>
          <cell r="H361">
            <v>7.04</v>
          </cell>
          <cell r="I361">
            <v>6.87</v>
          </cell>
          <cell r="J361">
            <v>6.84</v>
          </cell>
          <cell r="K361">
            <v>6.82</v>
          </cell>
          <cell r="L361">
            <v>6.77</v>
          </cell>
          <cell r="M361">
            <v>6.72</v>
          </cell>
          <cell r="N361">
            <v>7.05</v>
          </cell>
          <cell r="O361">
            <v>7.5</v>
          </cell>
          <cell r="P361">
            <v>7.44</v>
          </cell>
          <cell r="Q361">
            <v>7.35</v>
          </cell>
        </row>
        <row r="362">
          <cell r="A362" t="str">
            <v xml:space="preserve"> 1/31/74</v>
          </cell>
          <cell r="C362">
            <v>7.61</v>
          </cell>
          <cell r="D362">
            <v>7.84</v>
          </cell>
          <cell r="E362">
            <v>7.69</v>
          </cell>
          <cell r="F362">
            <v>7.37</v>
          </cell>
          <cell r="G362">
            <v>7.22</v>
          </cell>
          <cell r="H362">
            <v>6.98</v>
          </cell>
          <cell r="I362">
            <v>6.86</v>
          </cell>
          <cell r="J362">
            <v>6.91</v>
          </cell>
          <cell r="K362">
            <v>6.93</v>
          </cell>
          <cell r="L362">
            <v>6.92</v>
          </cell>
          <cell r="M362">
            <v>6.9</v>
          </cell>
          <cell r="N362">
            <v>7.16</v>
          </cell>
          <cell r="O362">
            <v>7.51</v>
          </cell>
          <cell r="P362">
            <v>7.58</v>
          </cell>
          <cell r="Q362">
            <v>7.6</v>
          </cell>
        </row>
        <row r="363">
          <cell r="A363" t="str">
            <v xml:space="preserve"> 2/28/74</v>
          </cell>
          <cell r="C363">
            <v>7.49</v>
          </cell>
          <cell r="D363">
            <v>7.76</v>
          </cell>
          <cell r="E363">
            <v>7.64</v>
          </cell>
          <cell r="F363">
            <v>7.32</v>
          </cell>
          <cell r="G363">
            <v>7.16</v>
          </cell>
          <cell r="H363">
            <v>6.96</v>
          </cell>
          <cell r="I363">
            <v>6.87</v>
          </cell>
          <cell r="J363">
            <v>6.95</v>
          </cell>
          <cell r="K363">
            <v>6.99</v>
          </cell>
          <cell r="L363">
            <v>6.99</v>
          </cell>
          <cell r="M363">
            <v>6.99</v>
          </cell>
          <cell r="N363">
            <v>7.17</v>
          </cell>
          <cell r="O363">
            <v>7.42</v>
          </cell>
          <cell r="P363">
            <v>7.75</v>
          </cell>
          <cell r="Q363">
            <v>7.96</v>
          </cell>
        </row>
        <row r="364">
          <cell r="A364" t="str">
            <v xml:space="preserve"> 3/29/74</v>
          </cell>
          <cell r="C364">
            <v>8.6</v>
          </cell>
          <cell r="D364">
            <v>8.81</v>
          </cell>
          <cell r="E364">
            <v>8.77</v>
          </cell>
          <cell r="F364">
            <v>8.6300000000000008</v>
          </cell>
          <cell r="G364">
            <v>8.5500000000000007</v>
          </cell>
          <cell r="H364">
            <v>8.1999999999999993</v>
          </cell>
          <cell r="I364">
            <v>8.0299999999999994</v>
          </cell>
          <cell r="J364">
            <v>7.86</v>
          </cell>
          <cell r="K364">
            <v>7.78</v>
          </cell>
          <cell r="L364">
            <v>7.69</v>
          </cell>
          <cell r="M364">
            <v>7.59</v>
          </cell>
          <cell r="N364">
            <v>7.49</v>
          </cell>
          <cell r="O364">
            <v>7.4</v>
          </cell>
          <cell r="P364">
            <v>8.0500000000000007</v>
          </cell>
          <cell r="Q364">
            <v>8.51</v>
          </cell>
        </row>
        <row r="365">
          <cell r="A365" t="str">
            <v xml:space="preserve"> 4/30/74</v>
          </cell>
          <cell r="C365">
            <v>8.84</v>
          </cell>
          <cell r="D365">
            <v>9.16</v>
          </cell>
          <cell r="E365">
            <v>9.17</v>
          </cell>
          <cell r="F365">
            <v>9.2100000000000009</v>
          </cell>
          <cell r="G365">
            <v>9.23</v>
          </cell>
          <cell r="H365">
            <v>8.7100000000000009</v>
          </cell>
          <cell r="I365">
            <v>8.44</v>
          </cell>
          <cell r="J365">
            <v>8.34</v>
          </cell>
          <cell r="K365">
            <v>8.2899999999999991</v>
          </cell>
          <cell r="L365">
            <v>8.17</v>
          </cell>
          <cell r="M365">
            <v>8.0399999999999991</v>
          </cell>
          <cell r="N365">
            <v>7.78</v>
          </cell>
          <cell r="O365">
            <v>7.5</v>
          </cell>
          <cell r="P365">
            <v>8.35</v>
          </cell>
          <cell r="Q365">
            <v>8.9499999999999993</v>
          </cell>
        </row>
        <row r="366">
          <cell r="A366" t="str">
            <v xml:space="preserve"> 5/31/74</v>
          </cell>
          <cell r="C366">
            <v>7.8</v>
          </cell>
          <cell r="D366">
            <v>8.42</v>
          </cell>
          <cell r="E366">
            <v>8.7100000000000009</v>
          </cell>
          <cell r="F366">
            <v>8.7899999999999991</v>
          </cell>
          <cell r="G366">
            <v>8.84</v>
          </cell>
          <cell r="H366">
            <v>8.42</v>
          </cell>
          <cell r="I366">
            <v>8.2100000000000009</v>
          </cell>
          <cell r="J366">
            <v>8.15</v>
          </cell>
          <cell r="K366">
            <v>8.1199999999999992</v>
          </cell>
          <cell r="L366">
            <v>8.0399999999999991</v>
          </cell>
          <cell r="M366">
            <v>7.95</v>
          </cell>
          <cell r="N366">
            <v>7.71</v>
          </cell>
          <cell r="O366">
            <v>7.42</v>
          </cell>
          <cell r="P366">
            <v>8.44</v>
          </cell>
          <cell r="Q366">
            <v>9.14</v>
          </cell>
        </row>
        <row r="367">
          <cell r="A367" t="str">
            <v xml:space="preserve"> 6/28/74</v>
          </cell>
          <cell r="C367">
            <v>7.8</v>
          </cell>
          <cell r="D367">
            <v>7.85</v>
          </cell>
          <cell r="E367">
            <v>8.31</v>
          </cell>
          <cell r="F367">
            <v>8.75</v>
          </cell>
          <cell r="G367">
            <v>8.98</v>
          </cell>
          <cell r="H367">
            <v>8.6</v>
          </cell>
          <cell r="I367">
            <v>8.4</v>
          </cell>
          <cell r="J367">
            <v>8.4700000000000006</v>
          </cell>
          <cell r="K367">
            <v>8.51</v>
          </cell>
          <cell r="L367">
            <v>8.32</v>
          </cell>
          <cell r="M367">
            <v>8.1</v>
          </cell>
          <cell r="N367">
            <v>7.8</v>
          </cell>
          <cell r="O367">
            <v>7.49</v>
          </cell>
          <cell r="P367">
            <v>8.27</v>
          </cell>
          <cell r="Q367">
            <v>8.81</v>
          </cell>
        </row>
        <row r="368">
          <cell r="A368" t="str">
            <v xml:space="preserve"> 7/31/74</v>
          </cell>
          <cell r="C368">
            <v>7.56</v>
          </cell>
          <cell r="D368">
            <v>7.76</v>
          </cell>
          <cell r="E368">
            <v>8.36</v>
          </cell>
          <cell r="F368">
            <v>8.74</v>
          </cell>
          <cell r="G368">
            <v>8.93</v>
          </cell>
          <cell r="H368">
            <v>8.76</v>
          </cell>
          <cell r="I368">
            <v>8.68</v>
          </cell>
          <cell r="J368">
            <v>8.66</v>
          </cell>
          <cell r="K368">
            <v>8.65</v>
          </cell>
          <cell r="L368">
            <v>8.5</v>
          </cell>
          <cell r="M368">
            <v>8.33</v>
          </cell>
          <cell r="N368">
            <v>7.96</v>
          </cell>
          <cell r="O368">
            <v>7.52</v>
          </cell>
          <cell r="P368">
            <v>8.4700000000000006</v>
          </cell>
          <cell r="Q368">
            <v>9.11</v>
          </cell>
        </row>
        <row r="369">
          <cell r="A369" t="str">
            <v xml:space="preserve"> 8/30/74</v>
          </cell>
          <cell r="C369">
            <v>9.31</v>
          </cell>
          <cell r="D369">
            <v>9.42</v>
          </cell>
          <cell r="E369">
            <v>9.89</v>
          </cell>
          <cell r="F369">
            <v>10.06</v>
          </cell>
          <cell r="G369">
            <v>10.14</v>
          </cell>
          <cell r="H369">
            <v>9.41</v>
          </cell>
          <cell r="I369">
            <v>9.0500000000000007</v>
          </cell>
          <cell r="J369">
            <v>8.81</v>
          </cell>
          <cell r="K369">
            <v>8.6999999999999993</v>
          </cell>
          <cell r="L369">
            <v>8.6300000000000008</v>
          </cell>
          <cell r="M369">
            <v>8.56</v>
          </cell>
          <cell r="N369">
            <v>8.14</v>
          </cell>
          <cell r="O369">
            <v>7.61</v>
          </cell>
          <cell r="P369">
            <v>8.8000000000000007</v>
          </cell>
          <cell r="Q369">
            <v>9.76</v>
          </cell>
        </row>
        <row r="370">
          <cell r="A370" t="str">
            <v xml:space="preserve"> 9/30/74</v>
          </cell>
          <cell r="C370">
            <v>6.19</v>
          </cell>
          <cell r="D370">
            <v>6.24</v>
          </cell>
          <cell r="E370">
            <v>7.81</v>
          </cell>
          <cell r="F370">
            <v>8.2899999999999991</v>
          </cell>
          <cell r="G370">
            <v>8.5299999999999994</v>
          </cell>
          <cell r="H370">
            <v>8.25</v>
          </cell>
          <cell r="I370">
            <v>8.11</v>
          </cell>
          <cell r="J370">
            <v>8.17</v>
          </cell>
          <cell r="K370">
            <v>8.19</v>
          </cell>
          <cell r="L370">
            <v>8.09</v>
          </cell>
          <cell r="M370">
            <v>7.98</v>
          </cell>
          <cell r="N370">
            <v>7.91</v>
          </cell>
          <cell r="O370">
            <v>7.88</v>
          </cell>
          <cell r="P370">
            <v>8.76</v>
          </cell>
          <cell r="Q370">
            <v>9.43</v>
          </cell>
        </row>
        <row r="371">
          <cell r="A371" t="str">
            <v>10/31/74</v>
          </cell>
          <cell r="C371">
            <v>6.98</v>
          </cell>
          <cell r="D371">
            <v>8.3000000000000007</v>
          </cell>
          <cell r="E371">
            <v>8.18</v>
          </cell>
          <cell r="F371">
            <v>8.06</v>
          </cell>
          <cell r="G371">
            <v>8.01</v>
          </cell>
          <cell r="H371">
            <v>7.93</v>
          </cell>
          <cell r="I371">
            <v>7.89</v>
          </cell>
          <cell r="J371">
            <v>8.07</v>
          </cell>
          <cell r="K371">
            <v>8.15</v>
          </cell>
          <cell r="L371">
            <v>8</v>
          </cell>
          <cell r="M371">
            <v>7.83</v>
          </cell>
          <cell r="N371">
            <v>7.71</v>
          </cell>
          <cell r="O371">
            <v>7.63</v>
          </cell>
          <cell r="P371">
            <v>8.42</v>
          </cell>
          <cell r="Q371">
            <v>8.91</v>
          </cell>
        </row>
        <row r="372">
          <cell r="A372" t="str">
            <v>11/29/74</v>
          </cell>
          <cell r="C372">
            <v>7.66</v>
          </cell>
          <cell r="D372">
            <v>7.7</v>
          </cell>
          <cell r="E372">
            <v>8</v>
          </cell>
          <cell r="F372">
            <v>7.74</v>
          </cell>
          <cell r="G372">
            <v>7.61</v>
          </cell>
          <cell r="H372">
            <v>7.42</v>
          </cell>
          <cell r="I372">
            <v>7.32</v>
          </cell>
          <cell r="J372">
            <v>7.5</v>
          </cell>
          <cell r="K372">
            <v>7.6</v>
          </cell>
          <cell r="L372">
            <v>7.62</v>
          </cell>
          <cell r="M372">
            <v>7.64</v>
          </cell>
          <cell r="N372">
            <v>7.61</v>
          </cell>
          <cell r="O372">
            <v>7.58</v>
          </cell>
          <cell r="P372">
            <v>8.25</v>
          </cell>
          <cell r="Q372">
            <v>8.66</v>
          </cell>
        </row>
        <row r="373">
          <cell r="A373" t="str">
            <v>12/31/74</v>
          </cell>
          <cell r="C373">
            <v>6.72</v>
          </cell>
          <cell r="D373">
            <v>7.27</v>
          </cell>
          <cell r="E373">
            <v>7.37</v>
          </cell>
          <cell r="F373">
            <v>7.29</v>
          </cell>
          <cell r="G373">
            <v>7.25</v>
          </cell>
          <cell r="H373">
            <v>7.28</v>
          </cell>
          <cell r="I373">
            <v>7.3</v>
          </cell>
          <cell r="J373">
            <v>7.33</v>
          </cell>
          <cell r="K373">
            <v>7.34</v>
          </cell>
          <cell r="L373">
            <v>7.29</v>
          </cell>
          <cell r="M373">
            <v>7.23</v>
          </cell>
          <cell r="N373">
            <v>7.4</v>
          </cell>
          <cell r="O373">
            <v>7.65</v>
          </cell>
          <cell r="P373">
            <v>8.3000000000000007</v>
          </cell>
          <cell r="Q373">
            <v>8.66</v>
          </cell>
        </row>
        <row r="374">
          <cell r="A374" t="str">
            <v xml:space="preserve"> 1/31/75</v>
          </cell>
          <cell r="C374">
            <v>5.54</v>
          </cell>
          <cell r="D374">
            <v>5.86</v>
          </cell>
          <cell r="E374">
            <v>6.1</v>
          </cell>
          <cell r="F374">
            <v>6.16</v>
          </cell>
          <cell r="G374">
            <v>6.19</v>
          </cell>
          <cell r="H374">
            <v>6.58</v>
          </cell>
          <cell r="I374">
            <v>6.78</v>
          </cell>
          <cell r="J374">
            <v>7.12</v>
          </cell>
          <cell r="K374">
            <v>7.29</v>
          </cell>
          <cell r="L374">
            <v>7.33</v>
          </cell>
          <cell r="M374">
            <v>7.38</v>
          </cell>
          <cell r="N374">
            <v>7.4</v>
          </cell>
          <cell r="O374">
            <v>7.41</v>
          </cell>
          <cell r="P374">
            <v>8.09</v>
          </cell>
          <cell r="Q374">
            <v>8.4700000000000006</v>
          </cell>
        </row>
        <row r="375">
          <cell r="A375" t="str">
            <v xml:space="preserve"> 2/28/75</v>
          </cell>
          <cell r="C375">
            <v>4.79</v>
          </cell>
          <cell r="D375">
            <v>5.61</v>
          </cell>
          <cell r="E375">
            <v>5.84</v>
          </cell>
          <cell r="F375">
            <v>5.91</v>
          </cell>
          <cell r="G375">
            <v>5.94</v>
          </cell>
          <cell r="H375">
            <v>6.16</v>
          </cell>
          <cell r="I375">
            <v>6.27</v>
          </cell>
          <cell r="J375">
            <v>6.7</v>
          </cell>
          <cell r="K375">
            <v>6.92</v>
          </cell>
          <cell r="L375">
            <v>7.13</v>
          </cell>
          <cell r="M375">
            <v>7.37</v>
          </cell>
          <cell r="N375">
            <v>7.38</v>
          </cell>
          <cell r="O375">
            <v>7.29</v>
          </cell>
          <cell r="P375">
            <v>8.25</v>
          </cell>
          <cell r="Q375">
            <v>8.8000000000000007</v>
          </cell>
        </row>
        <row r="376">
          <cell r="A376" t="str">
            <v xml:space="preserve"> 3/31/75</v>
          </cell>
          <cell r="C376">
            <v>5.3</v>
          </cell>
          <cell r="D376">
            <v>5.72</v>
          </cell>
          <cell r="E376">
            <v>5.89</v>
          </cell>
          <cell r="F376">
            <v>6.07</v>
          </cell>
          <cell r="G376">
            <v>6.16</v>
          </cell>
          <cell r="H376">
            <v>6.52</v>
          </cell>
          <cell r="I376">
            <v>6.7</v>
          </cell>
          <cell r="J376">
            <v>7.11</v>
          </cell>
          <cell r="K376">
            <v>7.31</v>
          </cell>
          <cell r="L376">
            <v>7.45</v>
          </cell>
          <cell r="M376">
            <v>7.61</v>
          </cell>
          <cell r="N376">
            <v>7.64</v>
          </cell>
          <cell r="O376">
            <v>7.6</v>
          </cell>
          <cell r="P376">
            <v>8.51</v>
          </cell>
          <cell r="Q376">
            <v>9.23</v>
          </cell>
        </row>
        <row r="377">
          <cell r="A377" t="str">
            <v xml:space="preserve"> 4/30/75</v>
          </cell>
          <cell r="C377">
            <v>5.0199999999999996</v>
          </cell>
          <cell r="D377">
            <v>5.66</v>
          </cell>
          <cell r="E377">
            <v>6.19</v>
          </cell>
          <cell r="F377">
            <v>6.67</v>
          </cell>
          <cell r="G377">
            <v>6.91</v>
          </cell>
          <cell r="H377">
            <v>7.41</v>
          </cell>
          <cell r="I377">
            <v>7.66</v>
          </cell>
          <cell r="J377">
            <v>7.95</v>
          </cell>
          <cell r="K377">
            <v>8.1</v>
          </cell>
          <cell r="L377">
            <v>8.08</v>
          </cell>
          <cell r="M377">
            <v>8.06</v>
          </cell>
          <cell r="N377">
            <v>8.1</v>
          </cell>
          <cell r="O377">
            <v>8.15</v>
          </cell>
          <cell r="P377">
            <v>8.59</v>
          </cell>
          <cell r="Q377">
            <v>8.93</v>
          </cell>
        </row>
        <row r="378">
          <cell r="A378" t="str">
            <v xml:space="preserve"> 5/30/75</v>
          </cell>
          <cell r="C378">
            <v>4.95</v>
          </cell>
          <cell r="D378">
            <v>5.33</v>
          </cell>
          <cell r="E378">
            <v>5.61</v>
          </cell>
          <cell r="F378">
            <v>5.91</v>
          </cell>
          <cell r="G378">
            <v>6.06</v>
          </cell>
          <cell r="H378">
            <v>6.61</v>
          </cell>
          <cell r="I378">
            <v>6.89</v>
          </cell>
          <cell r="J378">
            <v>7.28</v>
          </cell>
          <cell r="K378">
            <v>7.47</v>
          </cell>
          <cell r="L378">
            <v>7.65</v>
          </cell>
          <cell r="M378">
            <v>7.85</v>
          </cell>
          <cell r="N378">
            <v>7.98</v>
          </cell>
          <cell r="O378">
            <v>8.08</v>
          </cell>
          <cell r="P378">
            <v>8.44</v>
          </cell>
          <cell r="Q378">
            <v>8.9</v>
          </cell>
        </row>
        <row r="379">
          <cell r="A379" t="str">
            <v xml:space="preserve"> 6/30/75</v>
          </cell>
          <cell r="C379">
            <v>5.51</v>
          </cell>
          <cell r="D379">
            <v>6.08</v>
          </cell>
          <cell r="E379">
            <v>6.39</v>
          </cell>
          <cell r="F379">
            <v>6.72</v>
          </cell>
          <cell r="G379">
            <v>6.9</v>
          </cell>
          <cell r="H379">
            <v>7.09</v>
          </cell>
          <cell r="I379">
            <v>7.18</v>
          </cell>
          <cell r="J379">
            <v>7.51</v>
          </cell>
          <cell r="K379">
            <v>7.68</v>
          </cell>
          <cell r="L379">
            <v>7.72</v>
          </cell>
          <cell r="M379">
            <v>7.77</v>
          </cell>
          <cell r="N379">
            <v>7.78</v>
          </cell>
          <cell r="O379">
            <v>7.79</v>
          </cell>
          <cell r="P379">
            <v>8.15</v>
          </cell>
          <cell r="Q379">
            <v>8.44</v>
          </cell>
        </row>
        <row r="380">
          <cell r="A380" t="str">
            <v xml:space="preserve"> 7/31/75</v>
          </cell>
          <cell r="C380">
            <v>6.09</v>
          </cell>
          <cell r="D380">
            <v>6.39</v>
          </cell>
          <cell r="E380">
            <v>7</v>
          </cell>
          <cell r="F380">
            <v>7.2</v>
          </cell>
          <cell r="G380">
            <v>7.3</v>
          </cell>
          <cell r="H380">
            <v>7.57</v>
          </cell>
          <cell r="I380">
            <v>7.7</v>
          </cell>
          <cell r="J380">
            <v>7.89</v>
          </cell>
          <cell r="K380">
            <v>7.98</v>
          </cell>
          <cell r="L380">
            <v>7.96</v>
          </cell>
          <cell r="M380">
            <v>7.94</v>
          </cell>
          <cell r="N380">
            <v>7.95</v>
          </cell>
          <cell r="O380">
            <v>7.98</v>
          </cell>
          <cell r="P380">
            <v>8.24</v>
          </cell>
          <cell r="Q380">
            <v>8.57</v>
          </cell>
        </row>
        <row r="381">
          <cell r="A381" t="str">
            <v xml:space="preserve"> 8/29/75</v>
          </cell>
          <cell r="C381">
            <v>5.87</v>
          </cell>
          <cell r="D381">
            <v>6.46</v>
          </cell>
          <cell r="E381">
            <v>7.19</v>
          </cell>
          <cell r="F381">
            <v>7.43</v>
          </cell>
          <cell r="G381">
            <v>7.55</v>
          </cell>
          <cell r="H381">
            <v>7.72</v>
          </cell>
          <cell r="I381">
            <v>7.8</v>
          </cell>
          <cell r="J381">
            <v>8.02</v>
          </cell>
          <cell r="K381">
            <v>8.1300000000000008</v>
          </cell>
          <cell r="L381">
            <v>8.11</v>
          </cell>
          <cell r="M381">
            <v>8.09</v>
          </cell>
          <cell r="N381">
            <v>8.11</v>
          </cell>
          <cell r="O381">
            <v>8.14</v>
          </cell>
          <cell r="P381">
            <v>8.4700000000000006</v>
          </cell>
          <cell r="Q381">
            <v>8.8800000000000008</v>
          </cell>
        </row>
        <row r="382">
          <cell r="A382" t="str">
            <v xml:space="preserve"> 9/30/75</v>
          </cell>
          <cell r="C382">
            <v>6.31</v>
          </cell>
          <cell r="D382">
            <v>6.67</v>
          </cell>
          <cell r="E382">
            <v>7.42</v>
          </cell>
          <cell r="F382">
            <v>7.59</v>
          </cell>
          <cell r="G382">
            <v>7.67</v>
          </cell>
          <cell r="H382">
            <v>8.0500000000000007</v>
          </cell>
          <cell r="I382">
            <v>8.24</v>
          </cell>
          <cell r="J382">
            <v>8.32</v>
          </cell>
          <cell r="K382">
            <v>8.36</v>
          </cell>
          <cell r="L382">
            <v>8.36</v>
          </cell>
          <cell r="M382">
            <v>8.36</v>
          </cell>
          <cell r="N382">
            <v>8.3699999999999992</v>
          </cell>
          <cell r="O382">
            <v>8.39</v>
          </cell>
          <cell r="P382">
            <v>8.6300000000000008</v>
          </cell>
          <cell r="Q382">
            <v>8.9499999999999993</v>
          </cell>
        </row>
        <row r="383">
          <cell r="A383" t="str">
            <v>10/31/75</v>
          </cell>
          <cell r="C383">
            <v>5.35</v>
          </cell>
          <cell r="D383">
            <v>5.67</v>
          </cell>
          <cell r="E383">
            <v>5.96</v>
          </cell>
          <cell r="F383">
            <v>6.18</v>
          </cell>
          <cell r="G383">
            <v>6.29</v>
          </cell>
          <cell r="H383">
            <v>6.8</v>
          </cell>
          <cell r="I383">
            <v>7.06</v>
          </cell>
          <cell r="J383">
            <v>7.34</v>
          </cell>
          <cell r="K383">
            <v>7.47</v>
          </cell>
          <cell r="L383">
            <v>7.65</v>
          </cell>
          <cell r="M383">
            <v>7.86</v>
          </cell>
          <cell r="N383">
            <v>8.01</v>
          </cell>
          <cell r="O383">
            <v>8.1199999999999992</v>
          </cell>
          <cell r="P383">
            <v>8.33</v>
          </cell>
          <cell r="Q383">
            <v>8.4700000000000006</v>
          </cell>
        </row>
        <row r="384">
          <cell r="A384" t="str">
            <v>11/28/75</v>
          </cell>
          <cell r="C384">
            <v>5.12</v>
          </cell>
          <cell r="D384">
            <v>5.69</v>
          </cell>
          <cell r="E384">
            <v>6.22</v>
          </cell>
          <cell r="F384">
            <v>6.43</v>
          </cell>
          <cell r="G384">
            <v>6.53</v>
          </cell>
          <cell r="H384">
            <v>7.05</v>
          </cell>
          <cell r="I384">
            <v>7.32</v>
          </cell>
          <cell r="J384">
            <v>7.56</v>
          </cell>
          <cell r="K384">
            <v>7.68</v>
          </cell>
          <cell r="L384">
            <v>7.87</v>
          </cell>
          <cell r="M384">
            <v>8.09</v>
          </cell>
          <cell r="N384">
            <v>8.1999999999999993</v>
          </cell>
          <cell r="O384">
            <v>8.26</v>
          </cell>
          <cell r="P384">
            <v>8.49</v>
          </cell>
          <cell r="Q384">
            <v>8.7799999999999994</v>
          </cell>
        </row>
        <row r="385">
          <cell r="A385" t="str">
            <v>12/31/75</v>
          </cell>
          <cell r="C385">
            <v>4.92</v>
          </cell>
          <cell r="D385">
            <v>5.29</v>
          </cell>
          <cell r="E385">
            <v>5.68</v>
          </cell>
          <cell r="F385">
            <v>5.97</v>
          </cell>
          <cell r="G385">
            <v>6.11</v>
          </cell>
          <cell r="H385">
            <v>6.53</v>
          </cell>
          <cell r="I385">
            <v>6.74</v>
          </cell>
          <cell r="J385">
            <v>7.13</v>
          </cell>
          <cell r="K385">
            <v>7.33</v>
          </cell>
          <cell r="L385">
            <v>7.49</v>
          </cell>
          <cell r="M385">
            <v>7.67</v>
          </cell>
          <cell r="N385">
            <v>7.84</v>
          </cell>
          <cell r="O385">
            <v>7.98</v>
          </cell>
          <cell r="P385">
            <v>8.1999999999999993</v>
          </cell>
          <cell r="Q385">
            <v>8.35</v>
          </cell>
        </row>
        <row r="386">
          <cell r="A386" t="str">
            <v xml:space="preserve"> 1/30/76</v>
          </cell>
          <cell r="C386">
            <v>4.47</v>
          </cell>
          <cell r="D386">
            <v>4.84</v>
          </cell>
          <cell r="E386">
            <v>5.08</v>
          </cell>
          <cell r="F386">
            <v>5.35</v>
          </cell>
          <cell r="G386">
            <v>5.49</v>
          </cell>
          <cell r="H386">
            <v>6.08</v>
          </cell>
          <cell r="I386">
            <v>6.38</v>
          </cell>
          <cell r="J386">
            <v>7.01</v>
          </cell>
          <cell r="K386">
            <v>7.33</v>
          </cell>
          <cell r="L386">
            <v>7.53</v>
          </cell>
          <cell r="M386">
            <v>7.75</v>
          </cell>
          <cell r="N386">
            <v>7.84</v>
          </cell>
          <cell r="O386">
            <v>7.87</v>
          </cell>
          <cell r="P386">
            <v>8.1300000000000008</v>
          </cell>
          <cell r="Q386">
            <v>8.32</v>
          </cell>
        </row>
        <row r="387">
          <cell r="A387" t="str">
            <v xml:space="preserve"> 2/27/76</v>
          </cell>
          <cell r="C387">
            <v>4.7</v>
          </cell>
          <cell r="D387">
            <v>5.1100000000000003</v>
          </cell>
          <cell r="E387">
            <v>5.59</v>
          </cell>
          <cell r="F387">
            <v>5.9</v>
          </cell>
          <cell r="G387">
            <v>6.06</v>
          </cell>
          <cell r="H387">
            <v>6.51</v>
          </cell>
          <cell r="I387">
            <v>6.74</v>
          </cell>
          <cell r="J387">
            <v>7.11</v>
          </cell>
          <cell r="K387">
            <v>7.3</v>
          </cell>
          <cell r="L387">
            <v>7.47</v>
          </cell>
          <cell r="M387">
            <v>7.66</v>
          </cell>
          <cell r="N387">
            <v>7.81</v>
          </cell>
          <cell r="O387">
            <v>7.92</v>
          </cell>
          <cell r="P387">
            <v>8.16</v>
          </cell>
          <cell r="Q387">
            <v>8.32</v>
          </cell>
        </row>
        <row r="388">
          <cell r="A388" t="str">
            <v xml:space="preserve"> 3/31/76</v>
          </cell>
          <cell r="C388">
            <v>4.75</v>
          </cell>
          <cell r="D388">
            <v>5.08</v>
          </cell>
          <cell r="E388">
            <v>5.51</v>
          </cell>
          <cell r="F388">
            <v>5.83</v>
          </cell>
          <cell r="G388">
            <v>6</v>
          </cell>
          <cell r="H388">
            <v>6.45</v>
          </cell>
          <cell r="I388">
            <v>6.67</v>
          </cell>
          <cell r="J388">
            <v>7.06</v>
          </cell>
          <cell r="K388">
            <v>7.26</v>
          </cell>
          <cell r="L388">
            <v>7.42</v>
          </cell>
          <cell r="M388">
            <v>7.6</v>
          </cell>
          <cell r="N388">
            <v>7.72</v>
          </cell>
          <cell r="O388">
            <v>7.8</v>
          </cell>
          <cell r="P388">
            <v>8.0399999999999991</v>
          </cell>
          <cell r="Q388">
            <v>8.19</v>
          </cell>
        </row>
        <row r="389">
          <cell r="A389" t="str">
            <v xml:space="preserve"> 4/30/76</v>
          </cell>
          <cell r="C389">
            <v>4.8</v>
          </cell>
          <cell r="D389">
            <v>5.0599999999999996</v>
          </cell>
          <cell r="E389">
            <v>5.42</v>
          </cell>
          <cell r="F389">
            <v>5.85</v>
          </cell>
          <cell r="G389">
            <v>6.07</v>
          </cell>
          <cell r="H389">
            <v>6.44</v>
          </cell>
          <cell r="I389">
            <v>6.63</v>
          </cell>
          <cell r="J389">
            <v>6.98</v>
          </cell>
          <cell r="K389">
            <v>7.16</v>
          </cell>
          <cell r="L389">
            <v>7.35</v>
          </cell>
          <cell r="M389">
            <v>7.57</v>
          </cell>
          <cell r="N389">
            <v>7.75</v>
          </cell>
          <cell r="O389">
            <v>7.9</v>
          </cell>
          <cell r="P389">
            <v>8.1300000000000008</v>
          </cell>
          <cell r="Q389">
            <v>8.27</v>
          </cell>
        </row>
        <row r="390">
          <cell r="A390" t="str">
            <v xml:space="preserve"> 5/28/76</v>
          </cell>
          <cell r="C390">
            <v>5.24</v>
          </cell>
          <cell r="D390">
            <v>5.67</v>
          </cell>
          <cell r="E390">
            <v>6.15</v>
          </cell>
          <cell r="F390">
            <v>6.51</v>
          </cell>
          <cell r="G390">
            <v>6.71</v>
          </cell>
          <cell r="H390">
            <v>7.1</v>
          </cell>
          <cell r="I390">
            <v>7.3</v>
          </cell>
          <cell r="J390">
            <v>7.6</v>
          </cell>
          <cell r="K390">
            <v>7.75</v>
          </cell>
          <cell r="L390">
            <v>7.82</v>
          </cell>
          <cell r="M390">
            <v>7.91</v>
          </cell>
          <cell r="N390">
            <v>8.0299999999999994</v>
          </cell>
          <cell r="O390">
            <v>8.15</v>
          </cell>
          <cell r="P390">
            <v>8.31</v>
          </cell>
          <cell r="Q390">
            <v>8.4</v>
          </cell>
        </row>
        <row r="391">
          <cell r="A391" t="str">
            <v xml:space="preserve"> 6/30/76</v>
          </cell>
          <cell r="C391">
            <v>5.35</v>
          </cell>
          <cell r="D391">
            <v>5.5</v>
          </cell>
          <cell r="E391">
            <v>5.96</v>
          </cell>
          <cell r="F391">
            <v>6.27</v>
          </cell>
          <cell r="G391">
            <v>6.43</v>
          </cell>
          <cell r="H391">
            <v>6.79</v>
          </cell>
          <cell r="I391">
            <v>6.97</v>
          </cell>
          <cell r="J391">
            <v>7.29</v>
          </cell>
          <cell r="K391">
            <v>7.45</v>
          </cell>
          <cell r="L391">
            <v>7.58</v>
          </cell>
          <cell r="M391">
            <v>7.74</v>
          </cell>
          <cell r="N391">
            <v>7.9</v>
          </cell>
          <cell r="O391">
            <v>8.0500000000000007</v>
          </cell>
          <cell r="P391">
            <v>8.2200000000000006</v>
          </cell>
          <cell r="Q391">
            <v>8.32</v>
          </cell>
        </row>
        <row r="392">
          <cell r="A392" t="str">
            <v xml:space="preserve"> 7/30/76</v>
          </cell>
          <cell r="C392">
            <v>5.15</v>
          </cell>
          <cell r="D392">
            <v>5.29</v>
          </cell>
          <cell r="E392">
            <v>5.65</v>
          </cell>
          <cell r="F392">
            <v>5.97</v>
          </cell>
          <cell r="G392">
            <v>6.13</v>
          </cell>
          <cell r="H392">
            <v>6.54</v>
          </cell>
          <cell r="I392">
            <v>6.75</v>
          </cell>
          <cell r="J392">
            <v>7.11</v>
          </cell>
          <cell r="K392">
            <v>7.29</v>
          </cell>
          <cell r="L392">
            <v>7.5</v>
          </cell>
          <cell r="M392">
            <v>7.74</v>
          </cell>
          <cell r="N392">
            <v>7.92</v>
          </cell>
          <cell r="O392">
            <v>8.0500000000000007</v>
          </cell>
          <cell r="P392">
            <v>8.2100000000000009</v>
          </cell>
          <cell r="Q392">
            <v>8.31</v>
          </cell>
        </row>
        <row r="393">
          <cell r="A393" t="str">
            <v xml:space="preserve"> 8/31/76</v>
          </cell>
          <cell r="C393">
            <v>5.04</v>
          </cell>
          <cell r="D393">
            <v>5.19</v>
          </cell>
          <cell r="E393">
            <v>5.51</v>
          </cell>
          <cell r="F393">
            <v>5.76</v>
          </cell>
          <cell r="G393">
            <v>5.89</v>
          </cell>
          <cell r="H393">
            <v>6.29</v>
          </cell>
          <cell r="I393">
            <v>6.49</v>
          </cell>
          <cell r="J393">
            <v>6.8</v>
          </cell>
          <cell r="K393">
            <v>6.96</v>
          </cell>
          <cell r="L393">
            <v>7.23</v>
          </cell>
          <cell r="M393">
            <v>7.54</v>
          </cell>
          <cell r="N393">
            <v>7.78</v>
          </cell>
          <cell r="O393">
            <v>7.99</v>
          </cell>
          <cell r="P393">
            <v>8.09</v>
          </cell>
          <cell r="Q393">
            <v>8.14</v>
          </cell>
        </row>
        <row r="394">
          <cell r="A394" t="str">
            <v xml:space="preserve"> 9/30/76</v>
          </cell>
          <cell r="C394">
            <v>5.16</v>
          </cell>
          <cell r="D394">
            <v>5.23</v>
          </cell>
          <cell r="E394">
            <v>5.52</v>
          </cell>
          <cell r="F394">
            <v>5.62</v>
          </cell>
          <cell r="G394">
            <v>5.68</v>
          </cell>
          <cell r="H394">
            <v>6.12</v>
          </cell>
          <cell r="I394">
            <v>6.34</v>
          </cell>
          <cell r="J394">
            <v>6.71</v>
          </cell>
          <cell r="K394">
            <v>6.89</v>
          </cell>
          <cell r="L394">
            <v>7.17</v>
          </cell>
          <cell r="M394">
            <v>7.49</v>
          </cell>
          <cell r="N394">
            <v>7.7</v>
          </cell>
          <cell r="O394">
            <v>7.84</v>
          </cell>
          <cell r="P394">
            <v>8.0299999999999994</v>
          </cell>
          <cell r="Q394">
            <v>8.1300000000000008</v>
          </cell>
        </row>
        <row r="395">
          <cell r="A395" t="str">
            <v>10/29/76</v>
          </cell>
          <cell r="C395">
            <v>4.79</v>
          </cell>
          <cell r="D395">
            <v>5.04</v>
          </cell>
          <cell r="E395">
            <v>5.21</v>
          </cell>
          <cell r="F395">
            <v>5.41</v>
          </cell>
          <cell r="G395">
            <v>5.51</v>
          </cell>
          <cell r="H395">
            <v>5.87</v>
          </cell>
          <cell r="I395">
            <v>6.05</v>
          </cell>
          <cell r="J395">
            <v>6.41</v>
          </cell>
          <cell r="K395">
            <v>6.59</v>
          </cell>
          <cell r="L395">
            <v>6.91</v>
          </cell>
          <cell r="M395">
            <v>7.27</v>
          </cell>
          <cell r="N395">
            <v>7.61</v>
          </cell>
          <cell r="O395">
            <v>7.9</v>
          </cell>
          <cell r="P395">
            <v>8.0500000000000007</v>
          </cell>
          <cell r="Q395">
            <v>8.1199999999999992</v>
          </cell>
        </row>
        <row r="396">
          <cell r="A396" t="str">
            <v>11/30/76</v>
          </cell>
          <cell r="C396">
            <v>4.32</v>
          </cell>
          <cell r="D396">
            <v>4.54</v>
          </cell>
          <cell r="E396">
            <v>4.72</v>
          </cell>
          <cell r="F396">
            <v>4.8499999999999996</v>
          </cell>
          <cell r="G396">
            <v>4.91</v>
          </cell>
          <cell r="H396">
            <v>5.28</v>
          </cell>
          <cell r="I396">
            <v>5.46</v>
          </cell>
          <cell r="J396">
            <v>5.76</v>
          </cell>
          <cell r="K396">
            <v>5.9</v>
          </cell>
          <cell r="L396">
            <v>6.29</v>
          </cell>
          <cell r="M396">
            <v>6.73</v>
          </cell>
          <cell r="N396">
            <v>7.23</v>
          </cell>
          <cell r="O396">
            <v>7.72</v>
          </cell>
          <cell r="P396">
            <v>7.88</v>
          </cell>
          <cell r="Q396">
            <v>7.94</v>
          </cell>
        </row>
        <row r="397">
          <cell r="A397" t="str">
            <v>12/31/76</v>
          </cell>
          <cell r="C397">
            <v>4.24</v>
          </cell>
          <cell r="D397">
            <v>4.4800000000000004</v>
          </cell>
          <cell r="E397">
            <v>4.66</v>
          </cell>
          <cell r="F397">
            <v>4.8</v>
          </cell>
          <cell r="G397">
            <v>4.87</v>
          </cell>
          <cell r="H397">
            <v>5.22</v>
          </cell>
          <cell r="I397">
            <v>5.4</v>
          </cell>
          <cell r="J397">
            <v>5.8</v>
          </cell>
          <cell r="K397">
            <v>6</v>
          </cell>
          <cell r="L397">
            <v>6.28</v>
          </cell>
          <cell r="M397">
            <v>6.6</v>
          </cell>
          <cell r="N397">
            <v>6.96</v>
          </cell>
          <cell r="O397">
            <v>7.31</v>
          </cell>
          <cell r="P397">
            <v>7.57</v>
          </cell>
          <cell r="Q397">
            <v>7.69</v>
          </cell>
        </row>
        <row r="398">
          <cell r="A398" t="str">
            <v xml:space="preserve"> 1/31/77</v>
          </cell>
          <cell r="C398">
            <v>4.62</v>
          </cell>
          <cell r="D398">
            <v>4.8499999999999996</v>
          </cell>
          <cell r="E398">
            <v>5.18</v>
          </cell>
          <cell r="F398">
            <v>5.47</v>
          </cell>
          <cell r="G398">
            <v>5.61</v>
          </cell>
          <cell r="H398">
            <v>6.04</v>
          </cell>
          <cell r="I398">
            <v>6.26</v>
          </cell>
          <cell r="J398">
            <v>6.65</v>
          </cell>
          <cell r="K398">
            <v>6.85</v>
          </cell>
          <cell r="L398">
            <v>7.04</v>
          </cell>
          <cell r="M398">
            <v>7.25</v>
          </cell>
          <cell r="N398">
            <v>7.5</v>
          </cell>
          <cell r="O398">
            <v>7.75</v>
          </cell>
          <cell r="P398">
            <v>7.92</v>
          </cell>
          <cell r="Q398">
            <v>7.99</v>
          </cell>
        </row>
        <row r="399">
          <cell r="A399" t="str">
            <v xml:space="preserve"> 2/28/77</v>
          </cell>
          <cell r="C399">
            <v>4.5199999999999996</v>
          </cell>
          <cell r="D399">
            <v>4.82</v>
          </cell>
          <cell r="E399">
            <v>5.0999999999999996</v>
          </cell>
          <cell r="F399">
            <v>5.38</v>
          </cell>
          <cell r="G399">
            <v>5.52</v>
          </cell>
          <cell r="H399">
            <v>5.98</v>
          </cell>
          <cell r="I399">
            <v>6.21</v>
          </cell>
          <cell r="J399">
            <v>6.64</v>
          </cell>
          <cell r="K399">
            <v>6.86</v>
          </cell>
          <cell r="L399">
            <v>7.08</v>
          </cell>
          <cell r="M399">
            <v>7.32</v>
          </cell>
          <cell r="N399">
            <v>7.58</v>
          </cell>
          <cell r="O399">
            <v>7.82</v>
          </cell>
          <cell r="P399">
            <v>7.98</v>
          </cell>
          <cell r="Q399">
            <v>8.15</v>
          </cell>
        </row>
        <row r="400">
          <cell r="A400" t="str">
            <v xml:space="preserve"> 3/31/77</v>
          </cell>
          <cell r="C400">
            <v>4.54</v>
          </cell>
          <cell r="D400">
            <v>4.68</v>
          </cell>
          <cell r="E400">
            <v>4.92</v>
          </cell>
          <cell r="F400">
            <v>5.28</v>
          </cell>
          <cell r="G400">
            <v>5.46</v>
          </cell>
          <cell r="H400">
            <v>5.8</v>
          </cell>
          <cell r="I400">
            <v>5.98</v>
          </cell>
          <cell r="J400">
            <v>6.52</v>
          </cell>
          <cell r="K400">
            <v>6.79</v>
          </cell>
          <cell r="L400">
            <v>7.02</v>
          </cell>
          <cell r="M400">
            <v>7.29</v>
          </cell>
          <cell r="N400">
            <v>7.56</v>
          </cell>
          <cell r="O400">
            <v>7.81</v>
          </cell>
          <cell r="P400">
            <v>7.95</v>
          </cell>
          <cell r="Q400">
            <v>8.1</v>
          </cell>
        </row>
        <row r="401">
          <cell r="A401" t="str">
            <v xml:space="preserve"> 4/29/77</v>
          </cell>
          <cell r="C401">
            <v>4.42</v>
          </cell>
          <cell r="D401">
            <v>4.83</v>
          </cell>
          <cell r="E401">
            <v>5.0999999999999996</v>
          </cell>
          <cell r="F401">
            <v>5.42</v>
          </cell>
          <cell r="G401">
            <v>5.58</v>
          </cell>
          <cell r="H401">
            <v>5.89</v>
          </cell>
          <cell r="I401">
            <v>6.04</v>
          </cell>
          <cell r="J401">
            <v>6.52</v>
          </cell>
          <cell r="K401">
            <v>6.75</v>
          </cell>
          <cell r="L401">
            <v>7</v>
          </cell>
          <cell r="M401">
            <v>7.29</v>
          </cell>
          <cell r="N401">
            <v>7.57</v>
          </cell>
          <cell r="O401">
            <v>7.83</v>
          </cell>
          <cell r="P401">
            <v>7.95</v>
          </cell>
          <cell r="Q401">
            <v>8.06</v>
          </cell>
        </row>
        <row r="402">
          <cell r="A402" t="str">
            <v xml:space="preserve"> 5/31/77</v>
          </cell>
          <cell r="C402">
            <v>4.76</v>
          </cell>
          <cell r="D402">
            <v>5.13</v>
          </cell>
          <cell r="E402">
            <v>5.4</v>
          </cell>
          <cell r="F402">
            <v>5.67</v>
          </cell>
          <cell r="G402">
            <v>5.8</v>
          </cell>
          <cell r="H402">
            <v>6.02</v>
          </cell>
          <cell r="I402">
            <v>6.13</v>
          </cell>
          <cell r="J402">
            <v>6.55</v>
          </cell>
          <cell r="K402">
            <v>6.77</v>
          </cell>
          <cell r="L402">
            <v>6.97</v>
          </cell>
          <cell r="M402">
            <v>7.21</v>
          </cell>
          <cell r="N402">
            <v>7.5</v>
          </cell>
          <cell r="O402">
            <v>7.79</v>
          </cell>
          <cell r="P402">
            <v>7.91</v>
          </cell>
          <cell r="Q402">
            <v>8</v>
          </cell>
        </row>
        <row r="403">
          <cell r="A403" t="str">
            <v xml:space="preserve"> 6/30/77</v>
          </cell>
          <cell r="C403">
            <v>4.95</v>
          </cell>
          <cell r="D403">
            <v>5.12</v>
          </cell>
          <cell r="E403">
            <v>5.37</v>
          </cell>
          <cell r="F403">
            <v>5.58</v>
          </cell>
          <cell r="G403">
            <v>5.69</v>
          </cell>
          <cell r="H403">
            <v>5.88</v>
          </cell>
          <cell r="I403">
            <v>5.97</v>
          </cell>
          <cell r="J403">
            <v>6.34</v>
          </cell>
          <cell r="K403">
            <v>6.52</v>
          </cell>
          <cell r="L403">
            <v>6.76</v>
          </cell>
          <cell r="M403">
            <v>7.03</v>
          </cell>
          <cell r="N403">
            <v>7.36</v>
          </cell>
          <cell r="O403">
            <v>7.67</v>
          </cell>
          <cell r="P403">
            <v>7.75</v>
          </cell>
          <cell r="Q403">
            <v>7.78</v>
          </cell>
        </row>
        <row r="404">
          <cell r="A404" t="str">
            <v xml:space="preserve"> 7/29/77</v>
          </cell>
          <cell r="C404">
            <v>5.26</v>
          </cell>
          <cell r="D404">
            <v>5.55</v>
          </cell>
          <cell r="E404">
            <v>5.85</v>
          </cell>
          <cell r="F404">
            <v>6.05</v>
          </cell>
          <cell r="G404">
            <v>6.15</v>
          </cell>
          <cell r="H404">
            <v>6.32</v>
          </cell>
          <cell r="I404">
            <v>6.41</v>
          </cell>
          <cell r="J404">
            <v>6.74</v>
          </cell>
          <cell r="K404">
            <v>6.91</v>
          </cell>
          <cell r="L404">
            <v>7.07</v>
          </cell>
          <cell r="M404">
            <v>7.25</v>
          </cell>
          <cell r="N404">
            <v>7.51</v>
          </cell>
          <cell r="O404">
            <v>7.79</v>
          </cell>
          <cell r="P404">
            <v>7.92</v>
          </cell>
          <cell r="Q404">
            <v>8.0500000000000007</v>
          </cell>
        </row>
        <row r="405">
          <cell r="A405" t="str">
            <v xml:space="preserve"> 8/31/77</v>
          </cell>
          <cell r="C405">
            <v>5.35</v>
          </cell>
          <cell r="D405">
            <v>5.69</v>
          </cell>
          <cell r="E405">
            <v>6.07</v>
          </cell>
          <cell r="F405">
            <v>6.23</v>
          </cell>
          <cell r="G405">
            <v>6.32</v>
          </cell>
          <cell r="H405">
            <v>6.44</v>
          </cell>
          <cell r="I405">
            <v>6.51</v>
          </cell>
          <cell r="J405">
            <v>6.75</v>
          </cell>
          <cell r="K405">
            <v>6.87</v>
          </cell>
          <cell r="L405">
            <v>7</v>
          </cell>
          <cell r="M405">
            <v>7.14</v>
          </cell>
          <cell r="N405">
            <v>7.34</v>
          </cell>
          <cell r="O405">
            <v>7.56</v>
          </cell>
          <cell r="P405">
            <v>7.74</v>
          </cell>
          <cell r="Q405">
            <v>7.85</v>
          </cell>
        </row>
        <row r="406">
          <cell r="A406" t="str">
            <v xml:space="preserve"> 9/30/77</v>
          </cell>
          <cell r="C406">
            <v>5.98</v>
          </cell>
          <cell r="D406">
            <v>6.14</v>
          </cell>
          <cell r="E406">
            <v>6.45</v>
          </cell>
          <cell r="F406">
            <v>6.57</v>
          </cell>
          <cell r="G406">
            <v>6.63</v>
          </cell>
          <cell r="H406">
            <v>6.74</v>
          </cell>
          <cell r="I406">
            <v>6.79</v>
          </cell>
          <cell r="J406">
            <v>6.92</v>
          </cell>
          <cell r="K406">
            <v>6.99</v>
          </cell>
          <cell r="L406">
            <v>7.1</v>
          </cell>
          <cell r="M406">
            <v>7.24</v>
          </cell>
          <cell r="N406">
            <v>7.47</v>
          </cell>
          <cell r="O406">
            <v>7.72</v>
          </cell>
          <cell r="P406">
            <v>7.86</v>
          </cell>
          <cell r="Q406">
            <v>8</v>
          </cell>
        </row>
        <row r="407">
          <cell r="A407" t="str">
            <v>10/31/77</v>
          </cell>
          <cell r="C407">
            <v>6.1</v>
          </cell>
          <cell r="D407">
            <v>6.41</v>
          </cell>
          <cell r="E407">
            <v>6.78</v>
          </cell>
          <cell r="F407">
            <v>6.92</v>
          </cell>
          <cell r="G407">
            <v>6.99</v>
          </cell>
          <cell r="H407">
            <v>7.09</v>
          </cell>
          <cell r="I407">
            <v>7.15</v>
          </cell>
          <cell r="J407">
            <v>7.31</v>
          </cell>
          <cell r="K407">
            <v>7.39</v>
          </cell>
          <cell r="L407">
            <v>7.44</v>
          </cell>
          <cell r="M407">
            <v>7.5</v>
          </cell>
          <cell r="N407">
            <v>7.63</v>
          </cell>
          <cell r="O407">
            <v>7.77</v>
          </cell>
          <cell r="P407">
            <v>7.93</v>
          </cell>
          <cell r="Q407">
            <v>8.1</v>
          </cell>
        </row>
        <row r="408">
          <cell r="A408" t="str">
            <v>11/30/77</v>
          </cell>
          <cell r="C408">
            <v>5.69</v>
          </cell>
          <cell r="D408">
            <v>6.25</v>
          </cell>
          <cell r="E408">
            <v>6.64</v>
          </cell>
          <cell r="F408">
            <v>6.8</v>
          </cell>
          <cell r="G408">
            <v>6.88</v>
          </cell>
          <cell r="H408">
            <v>7.02</v>
          </cell>
          <cell r="I408">
            <v>7.08</v>
          </cell>
          <cell r="J408">
            <v>7.22</v>
          </cell>
          <cell r="K408">
            <v>7.29</v>
          </cell>
          <cell r="L408">
            <v>7.36</v>
          </cell>
          <cell r="M408">
            <v>7.45</v>
          </cell>
          <cell r="N408">
            <v>7.6</v>
          </cell>
          <cell r="O408">
            <v>7.77</v>
          </cell>
          <cell r="P408">
            <v>7.93</v>
          </cell>
          <cell r="Q408">
            <v>8.11</v>
          </cell>
        </row>
        <row r="409">
          <cell r="A409" t="str">
            <v>12/30/77</v>
          </cell>
          <cell r="C409">
            <v>5.61</v>
          </cell>
          <cell r="D409">
            <v>6.36</v>
          </cell>
          <cell r="E409">
            <v>6.73</v>
          </cell>
          <cell r="F409">
            <v>6.9</v>
          </cell>
          <cell r="G409">
            <v>6.99</v>
          </cell>
          <cell r="H409">
            <v>7.14</v>
          </cell>
          <cell r="I409">
            <v>7.21</v>
          </cell>
          <cell r="J409">
            <v>7.44</v>
          </cell>
          <cell r="K409">
            <v>7.55</v>
          </cell>
          <cell r="L409">
            <v>7.63</v>
          </cell>
          <cell r="M409">
            <v>7.73</v>
          </cell>
          <cell r="N409">
            <v>7.87</v>
          </cell>
          <cell r="O409">
            <v>8.02</v>
          </cell>
          <cell r="P409">
            <v>8.16</v>
          </cell>
          <cell r="Q409">
            <v>8.32</v>
          </cell>
        </row>
        <row r="410">
          <cell r="A410" t="str">
            <v xml:space="preserve"> 1/31/78</v>
          </cell>
          <cell r="C410">
            <v>6.09</v>
          </cell>
          <cell r="D410">
            <v>6.63</v>
          </cell>
          <cell r="E410">
            <v>6.96</v>
          </cell>
          <cell r="F410">
            <v>7.16</v>
          </cell>
          <cell r="G410">
            <v>7.25</v>
          </cell>
          <cell r="H410">
            <v>7.42</v>
          </cell>
          <cell r="I410">
            <v>7.5</v>
          </cell>
          <cell r="J410">
            <v>7.66</v>
          </cell>
          <cell r="K410">
            <v>7.74</v>
          </cell>
          <cell r="L410">
            <v>7.81</v>
          </cell>
          <cell r="M410">
            <v>7.88</v>
          </cell>
          <cell r="N410">
            <v>8.0299999999999994</v>
          </cell>
          <cell r="O410">
            <v>8.19</v>
          </cell>
          <cell r="P410">
            <v>8.3000000000000007</v>
          </cell>
          <cell r="Q410">
            <v>8.43</v>
          </cell>
        </row>
        <row r="411">
          <cell r="A411" t="str">
            <v xml:space="preserve"> 2/28/78</v>
          </cell>
          <cell r="C411">
            <v>6.15</v>
          </cell>
          <cell r="D411">
            <v>6.61</v>
          </cell>
          <cell r="E411">
            <v>6.99</v>
          </cell>
          <cell r="F411">
            <v>7.19</v>
          </cell>
          <cell r="G411">
            <v>7.29</v>
          </cell>
          <cell r="H411">
            <v>7.48</v>
          </cell>
          <cell r="I411">
            <v>7.57</v>
          </cell>
          <cell r="J411">
            <v>7.76</v>
          </cell>
          <cell r="K411">
            <v>7.85</v>
          </cell>
          <cell r="L411">
            <v>7.9</v>
          </cell>
          <cell r="M411">
            <v>7.96</v>
          </cell>
          <cell r="N411">
            <v>8.1</v>
          </cell>
          <cell r="O411">
            <v>8.26</v>
          </cell>
          <cell r="P411">
            <v>8.33</v>
          </cell>
          <cell r="Q411">
            <v>8.41</v>
          </cell>
        </row>
        <row r="412">
          <cell r="A412" t="str">
            <v xml:space="preserve"> 3/31/78</v>
          </cell>
          <cell r="C412">
            <v>6.68</v>
          </cell>
          <cell r="D412">
            <v>6.69</v>
          </cell>
          <cell r="E412">
            <v>7.03</v>
          </cell>
          <cell r="F412">
            <v>7.32</v>
          </cell>
          <cell r="G412">
            <v>7.47</v>
          </cell>
          <cell r="H412">
            <v>7.62</v>
          </cell>
          <cell r="I412">
            <v>7.7</v>
          </cell>
          <cell r="J412">
            <v>7.84</v>
          </cell>
          <cell r="K412">
            <v>7.92</v>
          </cell>
          <cell r="L412">
            <v>7.99</v>
          </cell>
          <cell r="M412">
            <v>8.08</v>
          </cell>
          <cell r="N412">
            <v>8.19</v>
          </cell>
          <cell r="O412">
            <v>8.31</v>
          </cell>
          <cell r="P412">
            <v>8.3800000000000008</v>
          </cell>
          <cell r="Q412">
            <v>8.44</v>
          </cell>
        </row>
        <row r="413">
          <cell r="A413" t="str">
            <v xml:space="preserve"> 4/28/78</v>
          </cell>
          <cell r="C413">
            <v>6.3</v>
          </cell>
          <cell r="D413">
            <v>6.57</v>
          </cell>
          <cell r="E413">
            <v>7.17</v>
          </cell>
          <cell r="F413">
            <v>7.5</v>
          </cell>
          <cell r="G413">
            <v>7.68</v>
          </cell>
          <cell r="H413">
            <v>7.87</v>
          </cell>
          <cell r="I413">
            <v>7.97</v>
          </cell>
          <cell r="J413">
            <v>8.01</v>
          </cell>
          <cell r="K413">
            <v>8.0299999999999994</v>
          </cell>
          <cell r="L413">
            <v>8.1</v>
          </cell>
          <cell r="M413">
            <v>8.18</v>
          </cell>
          <cell r="N413">
            <v>8.31</v>
          </cell>
          <cell r="O413">
            <v>8.4499999999999993</v>
          </cell>
          <cell r="P413">
            <v>8.49</v>
          </cell>
          <cell r="Q413">
            <v>8.5299999999999994</v>
          </cell>
        </row>
        <row r="414">
          <cell r="A414" t="str">
            <v xml:space="preserve"> 5/31/78</v>
          </cell>
          <cell r="C414">
            <v>6.53</v>
          </cell>
          <cell r="D414">
            <v>6.83</v>
          </cell>
          <cell r="E414">
            <v>7.44</v>
          </cell>
          <cell r="F414">
            <v>7.81</v>
          </cell>
          <cell r="G414">
            <v>8</v>
          </cell>
          <cell r="H414">
            <v>8.1300000000000008</v>
          </cell>
          <cell r="I414">
            <v>8.19</v>
          </cell>
          <cell r="J414">
            <v>8.24</v>
          </cell>
          <cell r="K414">
            <v>8.26</v>
          </cell>
          <cell r="L414">
            <v>8.31</v>
          </cell>
          <cell r="M414">
            <v>8.3699999999999992</v>
          </cell>
          <cell r="N414">
            <v>8.4700000000000006</v>
          </cell>
          <cell r="O414">
            <v>8.59</v>
          </cell>
          <cell r="P414">
            <v>8.58</v>
          </cell>
          <cell r="Q414">
            <v>8.5500000000000007</v>
          </cell>
        </row>
        <row r="415">
          <cell r="A415" t="str">
            <v xml:space="preserve"> 6/30/78</v>
          </cell>
          <cell r="C415">
            <v>6.67</v>
          </cell>
          <cell r="D415">
            <v>7.32</v>
          </cell>
          <cell r="E415">
            <v>7.8</v>
          </cell>
          <cell r="F415">
            <v>8.2100000000000009</v>
          </cell>
          <cell r="G415">
            <v>8.42</v>
          </cell>
          <cell r="H415">
            <v>8.52</v>
          </cell>
          <cell r="I415">
            <v>8.57</v>
          </cell>
          <cell r="J415">
            <v>8.5500000000000007</v>
          </cell>
          <cell r="K415">
            <v>8.5399999999999991</v>
          </cell>
          <cell r="L415">
            <v>8.56</v>
          </cell>
          <cell r="M415">
            <v>8.58</v>
          </cell>
          <cell r="N415">
            <v>8.6300000000000008</v>
          </cell>
          <cell r="O415">
            <v>8.67</v>
          </cell>
          <cell r="P415">
            <v>8.61</v>
          </cell>
          <cell r="Q415">
            <v>8.52</v>
          </cell>
        </row>
        <row r="416">
          <cell r="A416" t="str">
            <v xml:space="preserve"> 7/31/78</v>
          </cell>
          <cell r="C416">
            <v>6.61</v>
          </cell>
          <cell r="D416">
            <v>7.08</v>
          </cell>
          <cell r="E416">
            <v>7.68</v>
          </cell>
          <cell r="F416">
            <v>8.15</v>
          </cell>
          <cell r="G416">
            <v>8.39</v>
          </cell>
          <cell r="H416">
            <v>8.4700000000000006</v>
          </cell>
          <cell r="I416">
            <v>8.51</v>
          </cell>
          <cell r="J416">
            <v>8.48</v>
          </cell>
          <cell r="K416">
            <v>8.4700000000000006</v>
          </cell>
          <cell r="L416">
            <v>8.49</v>
          </cell>
          <cell r="M416">
            <v>8.51</v>
          </cell>
          <cell r="N416">
            <v>8.56</v>
          </cell>
          <cell r="O416">
            <v>8.61</v>
          </cell>
          <cell r="P416">
            <v>8.6</v>
          </cell>
          <cell r="Q416">
            <v>8.58</v>
          </cell>
        </row>
        <row r="417">
          <cell r="A417" t="str">
            <v xml:space="preserve"> 8/31/78</v>
          </cell>
          <cell r="C417">
            <v>7.74</v>
          </cell>
          <cell r="D417">
            <v>7.8</v>
          </cell>
          <cell r="E417">
            <v>8.0299999999999994</v>
          </cell>
          <cell r="F417">
            <v>8.33</v>
          </cell>
          <cell r="G417">
            <v>8.48</v>
          </cell>
          <cell r="H417">
            <v>8.49</v>
          </cell>
          <cell r="I417">
            <v>8.5</v>
          </cell>
          <cell r="J417">
            <v>8.4600000000000009</v>
          </cell>
          <cell r="K417">
            <v>8.44</v>
          </cell>
          <cell r="L417">
            <v>8.43</v>
          </cell>
          <cell r="M417">
            <v>8.42</v>
          </cell>
          <cell r="N417">
            <v>8.44</v>
          </cell>
          <cell r="O417">
            <v>8.4600000000000009</v>
          </cell>
          <cell r="P417">
            <v>8.4499999999999993</v>
          </cell>
          <cell r="Q417">
            <v>8.43</v>
          </cell>
        </row>
        <row r="418">
          <cell r="A418" t="str">
            <v xml:space="preserve"> 9/29/78</v>
          </cell>
          <cell r="C418">
            <v>8.0500000000000007</v>
          </cell>
          <cell r="D418">
            <v>8.4499999999999993</v>
          </cell>
          <cell r="E418">
            <v>8.7799999999999994</v>
          </cell>
          <cell r="F418">
            <v>8.86</v>
          </cell>
          <cell r="G418">
            <v>8.9</v>
          </cell>
          <cell r="H418">
            <v>8.73</v>
          </cell>
          <cell r="I418">
            <v>8.65</v>
          </cell>
          <cell r="J418">
            <v>8.5299999999999994</v>
          </cell>
          <cell r="K418">
            <v>8.4700000000000006</v>
          </cell>
          <cell r="L418">
            <v>8.48</v>
          </cell>
          <cell r="M418">
            <v>8.49</v>
          </cell>
          <cell r="N418">
            <v>8.5500000000000007</v>
          </cell>
          <cell r="O418">
            <v>8.6199999999999992</v>
          </cell>
          <cell r="P418">
            <v>8.58</v>
          </cell>
          <cell r="Q418">
            <v>8.52</v>
          </cell>
        </row>
        <row r="419">
          <cell r="A419" t="str">
            <v>10/31/78</v>
          </cell>
          <cell r="C419">
            <v>8.9499999999999993</v>
          </cell>
          <cell r="D419">
            <v>8.9700000000000006</v>
          </cell>
          <cell r="E419">
            <v>9.64</v>
          </cell>
          <cell r="F419">
            <v>9.75</v>
          </cell>
          <cell r="G419">
            <v>9.8000000000000007</v>
          </cell>
          <cell r="H419">
            <v>9.5</v>
          </cell>
          <cell r="I419">
            <v>9.34</v>
          </cell>
          <cell r="J419">
            <v>9.1</v>
          </cell>
          <cell r="K419">
            <v>8.98</v>
          </cell>
          <cell r="L419">
            <v>8.93</v>
          </cell>
          <cell r="M419">
            <v>8.8699999999999992</v>
          </cell>
          <cell r="N419">
            <v>8.83</v>
          </cell>
          <cell r="O419">
            <v>8.81</v>
          </cell>
          <cell r="P419">
            <v>8.77</v>
          </cell>
          <cell r="Q419">
            <v>8.74</v>
          </cell>
        </row>
        <row r="420">
          <cell r="A420" t="str">
            <v>11/30/78</v>
          </cell>
          <cell r="C420">
            <v>9.08</v>
          </cell>
          <cell r="D420">
            <v>9.4</v>
          </cell>
          <cell r="E420">
            <v>9.8000000000000007</v>
          </cell>
          <cell r="F420">
            <v>10.039999999999999</v>
          </cell>
          <cell r="G420">
            <v>10.15</v>
          </cell>
          <cell r="H420">
            <v>9.83</v>
          </cell>
          <cell r="I420">
            <v>9.67</v>
          </cell>
          <cell r="J420">
            <v>9.19</v>
          </cell>
          <cell r="K420">
            <v>8.9499999999999993</v>
          </cell>
          <cell r="L420">
            <v>8.89</v>
          </cell>
          <cell r="M420">
            <v>8.83</v>
          </cell>
          <cell r="N420">
            <v>8.81</v>
          </cell>
          <cell r="O420">
            <v>8.81</v>
          </cell>
          <cell r="P420">
            <v>8.6999999999999993</v>
          </cell>
          <cell r="Q420">
            <v>8.56</v>
          </cell>
        </row>
        <row r="421">
          <cell r="A421" t="str">
            <v>12/29/78</v>
          </cell>
          <cell r="C421">
            <v>8.93</v>
          </cell>
          <cell r="D421">
            <v>9.7100000000000009</v>
          </cell>
          <cell r="E421">
            <v>10.210000000000001</v>
          </cell>
          <cell r="F421">
            <v>10.37</v>
          </cell>
          <cell r="G421">
            <v>10.45</v>
          </cell>
          <cell r="H421">
            <v>9.93</v>
          </cell>
          <cell r="I421">
            <v>9.67</v>
          </cell>
          <cell r="J421">
            <v>9.19</v>
          </cell>
          <cell r="K421">
            <v>8.9600000000000009</v>
          </cell>
          <cell r="L421">
            <v>8.9</v>
          </cell>
          <cell r="M421">
            <v>8.83</v>
          </cell>
          <cell r="N421">
            <v>8.81</v>
          </cell>
          <cell r="O421">
            <v>8.8000000000000007</v>
          </cell>
          <cell r="P421">
            <v>8.6999999999999993</v>
          </cell>
          <cell r="Q421">
            <v>8.56</v>
          </cell>
        </row>
        <row r="422">
          <cell r="A422" t="str">
            <v xml:space="preserve"> 1/31/79</v>
          </cell>
          <cell r="C422">
            <v>9.75</v>
          </cell>
          <cell r="D422">
            <v>9.7200000000000006</v>
          </cell>
          <cell r="E422">
            <v>9.9600000000000009</v>
          </cell>
          <cell r="F422">
            <v>10.09</v>
          </cell>
          <cell r="G422">
            <v>10.15</v>
          </cell>
          <cell r="H422">
            <v>9.92</v>
          </cell>
          <cell r="I422">
            <v>9.81</v>
          </cell>
          <cell r="J422">
            <v>9.25</v>
          </cell>
          <cell r="K422">
            <v>8.9700000000000006</v>
          </cell>
          <cell r="L422">
            <v>8.98</v>
          </cell>
          <cell r="M422">
            <v>8.99</v>
          </cell>
          <cell r="N422">
            <v>8.94</v>
          </cell>
          <cell r="O422">
            <v>8.86</v>
          </cell>
          <cell r="P422">
            <v>8.74</v>
          </cell>
          <cell r="Q422">
            <v>8.6</v>
          </cell>
        </row>
        <row r="423">
          <cell r="A423" t="str">
            <v xml:space="preserve"> 2/28/79</v>
          </cell>
          <cell r="C423">
            <v>9.65</v>
          </cell>
          <cell r="D423">
            <v>9.8800000000000008</v>
          </cell>
          <cell r="E423">
            <v>10.1</v>
          </cell>
          <cell r="F423">
            <v>10.24</v>
          </cell>
          <cell r="G423">
            <v>10.31</v>
          </cell>
          <cell r="H423">
            <v>10.1</v>
          </cell>
          <cell r="I423">
            <v>10</v>
          </cell>
          <cell r="J423">
            <v>9.52</v>
          </cell>
          <cell r="K423">
            <v>9.2799999999999994</v>
          </cell>
          <cell r="L423">
            <v>9.24</v>
          </cell>
          <cell r="M423">
            <v>9.19</v>
          </cell>
          <cell r="N423">
            <v>9.1</v>
          </cell>
          <cell r="O423">
            <v>9.01</v>
          </cell>
          <cell r="P423">
            <v>8.93</v>
          </cell>
          <cell r="Q423">
            <v>8.85</v>
          </cell>
        </row>
        <row r="424">
          <cell r="A424" t="str">
            <v xml:space="preserve"> 3/30/79</v>
          </cell>
          <cell r="C424">
            <v>9.8000000000000007</v>
          </cell>
          <cell r="D424">
            <v>10.01</v>
          </cell>
          <cell r="E424">
            <v>10.02</v>
          </cell>
          <cell r="F424">
            <v>9.9600000000000009</v>
          </cell>
          <cell r="G424">
            <v>9.93</v>
          </cell>
          <cell r="H424">
            <v>9.9</v>
          </cell>
          <cell r="I424">
            <v>9.8800000000000008</v>
          </cell>
          <cell r="J424">
            <v>9.4700000000000006</v>
          </cell>
          <cell r="K424">
            <v>9.27</v>
          </cell>
          <cell r="L424">
            <v>9.19</v>
          </cell>
          <cell r="M424">
            <v>9.11</v>
          </cell>
          <cell r="N424">
            <v>9.0500000000000007</v>
          </cell>
          <cell r="O424">
            <v>9</v>
          </cell>
          <cell r="P424">
            <v>8.8800000000000008</v>
          </cell>
          <cell r="Q424">
            <v>8.73</v>
          </cell>
        </row>
        <row r="425">
          <cell r="A425" t="str">
            <v xml:space="preserve"> 4/30/79</v>
          </cell>
          <cell r="C425">
            <v>9.7899999999999991</v>
          </cell>
          <cell r="D425">
            <v>10.039999999999999</v>
          </cell>
          <cell r="E425">
            <v>10.130000000000001</v>
          </cell>
          <cell r="F425">
            <v>10.130000000000001</v>
          </cell>
          <cell r="G425">
            <v>10.119999999999999</v>
          </cell>
          <cell r="H425">
            <v>10.039999999999999</v>
          </cell>
          <cell r="I425">
            <v>10</v>
          </cell>
          <cell r="J425">
            <v>9.59</v>
          </cell>
          <cell r="K425">
            <v>9.3800000000000008</v>
          </cell>
          <cell r="L425">
            <v>9.34</v>
          </cell>
          <cell r="M425">
            <v>9.2899999999999991</v>
          </cell>
          <cell r="N425">
            <v>9.26</v>
          </cell>
          <cell r="O425">
            <v>9.24</v>
          </cell>
          <cell r="P425">
            <v>9.11</v>
          </cell>
          <cell r="Q425">
            <v>8.94</v>
          </cell>
        </row>
        <row r="426">
          <cell r="A426" t="str">
            <v xml:space="preserve"> 5/31/79</v>
          </cell>
          <cell r="C426">
            <v>9.94</v>
          </cell>
          <cell r="D426">
            <v>10.050000000000001</v>
          </cell>
          <cell r="E426">
            <v>10.029999999999999</v>
          </cell>
          <cell r="F426">
            <v>9.9700000000000006</v>
          </cell>
          <cell r="G426">
            <v>9.9499999999999993</v>
          </cell>
          <cell r="H426">
            <v>9.75</v>
          </cell>
          <cell r="I426">
            <v>9.64</v>
          </cell>
          <cell r="J426">
            <v>9.2100000000000009</v>
          </cell>
          <cell r="K426">
            <v>8.99</v>
          </cell>
          <cell r="L426">
            <v>8.99</v>
          </cell>
          <cell r="M426">
            <v>8.98</v>
          </cell>
          <cell r="N426">
            <v>9.0399999999999991</v>
          </cell>
          <cell r="O426">
            <v>9.1199999999999992</v>
          </cell>
          <cell r="P426">
            <v>9.01</v>
          </cell>
          <cell r="Q426">
            <v>8.8699999999999992</v>
          </cell>
        </row>
        <row r="427">
          <cell r="A427" t="str">
            <v xml:space="preserve"> 6/29/79</v>
          </cell>
          <cell r="C427">
            <v>9.0500000000000007</v>
          </cell>
          <cell r="D427">
            <v>9.39</v>
          </cell>
          <cell r="E427">
            <v>9.4499999999999993</v>
          </cell>
          <cell r="F427">
            <v>9.33</v>
          </cell>
          <cell r="G427">
            <v>9.27</v>
          </cell>
          <cell r="H427">
            <v>9.02</v>
          </cell>
          <cell r="I427">
            <v>8.9</v>
          </cell>
          <cell r="J427">
            <v>8.7200000000000006</v>
          </cell>
          <cell r="K427">
            <v>8.64</v>
          </cell>
          <cell r="L427">
            <v>8.66</v>
          </cell>
          <cell r="M427">
            <v>8.69</v>
          </cell>
          <cell r="N427">
            <v>8.7799999999999994</v>
          </cell>
          <cell r="O427">
            <v>8.8699999999999992</v>
          </cell>
          <cell r="P427">
            <v>8.75</v>
          </cell>
          <cell r="Q427">
            <v>8.58</v>
          </cell>
        </row>
        <row r="428">
          <cell r="A428" t="str">
            <v xml:space="preserve"> 7/31/79</v>
          </cell>
          <cell r="C428">
            <v>9.27</v>
          </cell>
          <cell r="D428">
            <v>9.59</v>
          </cell>
          <cell r="E428">
            <v>9.89</v>
          </cell>
          <cell r="F428">
            <v>9.8000000000000007</v>
          </cell>
          <cell r="G428">
            <v>9.75</v>
          </cell>
          <cell r="H428">
            <v>9.4600000000000009</v>
          </cell>
          <cell r="I428">
            <v>9.31</v>
          </cell>
          <cell r="J428">
            <v>9.07</v>
          </cell>
          <cell r="K428">
            <v>8.9499999999999993</v>
          </cell>
          <cell r="L428">
            <v>8.9600000000000009</v>
          </cell>
          <cell r="M428">
            <v>8.9700000000000006</v>
          </cell>
          <cell r="N428">
            <v>8.99</v>
          </cell>
          <cell r="O428">
            <v>9.02</v>
          </cell>
          <cell r="P428">
            <v>8.85</v>
          </cell>
          <cell r="Q428">
            <v>8.61</v>
          </cell>
        </row>
        <row r="429">
          <cell r="A429" t="str">
            <v xml:space="preserve"> 8/31/79</v>
          </cell>
          <cell r="C429">
            <v>10.130000000000001</v>
          </cell>
          <cell r="D429">
            <v>10.27</v>
          </cell>
          <cell r="E429">
            <v>10.36</v>
          </cell>
          <cell r="F429">
            <v>10.45</v>
          </cell>
          <cell r="G429">
            <v>10.49</v>
          </cell>
          <cell r="H429">
            <v>10.07</v>
          </cell>
          <cell r="I429">
            <v>9.86</v>
          </cell>
          <cell r="J429">
            <v>9.57</v>
          </cell>
          <cell r="K429">
            <v>9.43</v>
          </cell>
          <cell r="L429">
            <v>9.34</v>
          </cell>
          <cell r="M429">
            <v>9.25</v>
          </cell>
          <cell r="N429">
            <v>9.1300000000000008</v>
          </cell>
          <cell r="O429">
            <v>9.01</v>
          </cell>
          <cell r="P429">
            <v>8.81</v>
          </cell>
          <cell r="Q429">
            <v>8.58</v>
          </cell>
        </row>
        <row r="430">
          <cell r="A430" t="str">
            <v xml:space="preserve"> 9/28/79</v>
          </cell>
          <cell r="C430">
            <v>10.28</v>
          </cell>
          <cell r="D430">
            <v>10.63</v>
          </cell>
          <cell r="E430">
            <v>10.86</v>
          </cell>
          <cell r="F430">
            <v>10.93</v>
          </cell>
          <cell r="G430">
            <v>10.96</v>
          </cell>
          <cell r="H430">
            <v>10.48</v>
          </cell>
          <cell r="I430">
            <v>10.24</v>
          </cell>
          <cell r="J430">
            <v>9.83</v>
          </cell>
          <cell r="K430">
            <v>9.6300000000000008</v>
          </cell>
          <cell r="L430">
            <v>9.5299999999999994</v>
          </cell>
          <cell r="M430">
            <v>9.42</v>
          </cell>
          <cell r="N430">
            <v>9.3699999999999992</v>
          </cell>
          <cell r="O430">
            <v>9.35</v>
          </cell>
          <cell r="P430">
            <v>9.0399999999999991</v>
          </cell>
          <cell r="Q430">
            <v>8.64</v>
          </cell>
        </row>
        <row r="431">
          <cell r="A431" t="str">
            <v>10/31/79</v>
          </cell>
          <cell r="C431">
            <v>11.85</v>
          </cell>
          <cell r="D431">
            <v>12.87</v>
          </cell>
          <cell r="E431">
            <v>13.13</v>
          </cell>
          <cell r="F431">
            <v>13.01</v>
          </cell>
          <cell r="G431">
            <v>12.95</v>
          </cell>
          <cell r="H431">
            <v>12.45</v>
          </cell>
          <cell r="I431">
            <v>12.19</v>
          </cell>
          <cell r="J431">
            <v>11.59</v>
          </cell>
          <cell r="K431">
            <v>11.28</v>
          </cell>
          <cell r="L431">
            <v>11.09</v>
          </cell>
          <cell r="M431">
            <v>10.87</v>
          </cell>
          <cell r="N431">
            <v>10.57</v>
          </cell>
          <cell r="O431">
            <v>10.25</v>
          </cell>
          <cell r="P431">
            <v>9.7899999999999991</v>
          </cell>
          <cell r="Q431">
            <v>9.25</v>
          </cell>
        </row>
        <row r="432">
          <cell r="A432" t="str">
            <v>11/30/79</v>
          </cell>
          <cell r="C432">
            <v>10.71</v>
          </cell>
          <cell r="D432">
            <v>12.22</v>
          </cell>
          <cell r="E432">
            <v>12.17</v>
          </cell>
          <cell r="F432">
            <v>11.76</v>
          </cell>
          <cell r="G432">
            <v>11.55</v>
          </cell>
          <cell r="H432">
            <v>11.38</v>
          </cell>
          <cell r="I432">
            <v>11.29</v>
          </cell>
          <cell r="J432">
            <v>10.64</v>
          </cell>
          <cell r="K432">
            <v>10.31</v>
          </cell>
          <cell r="L432">
            <v>10.37</v>
          </cell>
          <cell r="M432">
            <v>10.44</v>
          </cell>
          <cell r="N432">
            <v>10.31</v>
          </cell>
          <cell r="O432">
            <v>10.11</v>
          </cell>
          <cell r="P432">
            <v>9.66</v>
          </cell>
          <cell r="Q432">
            <v>9.11</v>
          </cell>
        </row>
        <row r="433">
          <cell r="A433" t="str">
            <v>12/31/79</v>
          </cell>
          <cell r="C433">
            <v>9.99</v>
          </cell>
          <cell r="D433">
            <v>12.58</v>
          </cell>
          <cell r="E433">
            <v>12.66</v>
          </cell>
          <cell r="F433">
            <v>12.09</v>
          </cell>
          <cell r="G433">
            <v>11.81</v>
          </cell>
          <cell r="H433">
            <v>11.5</v>
          </cell>
          <cell r="I433">
            <v>11.35</v>
          </cell>
          <cell r="J433">
            <v>10.7</v>
          </cell>
          <cell r="K433">
            <v>10.37</v>
          </cell>
          <cell r="L433">
            <v>10.36</v>
          </cell>
          <cell r="M433">
            <v>10.35</v>
          </cell>
          <cell r="N433">
            <v>10.32</v>
          </cell>
          <cell r="O433">
            <v>10.28</v>
          </cell>
          <cell r="P433">
            <v>9.92</v>
          </cell>
          <cell r="Q433">
            <v>9.4600000000000009</v>
          </cell>
        </row>
        <row r="434">
          <cell r="A434" t="str">
            <v xml:space="preserve"> 1/31/80</v>
          </cell>
          <cell r="C434">
            <v>11.89</v>
          </cell>
          <cell r="D434">
            <v>12.93</v>
          </cell>
          <cell r="E434">
            <v>12.89</v>
          </cell>
          <cell r="F434">
            <v>12.5</v>
          </cell>
          <cell r="G434">
            <v>12.3</v>
          </cell>
          <cell r="H434">
            <v>12.07</v>
          </cell>
          <cell r="I434">
            <v>11.95</v>
          </cell>
          <cell r="J434">
            <v>11.34</v>
          </cell>
          <cell r="K434">
            <v>11.03</v>
          </cell>
          <cell r="L434">
            <v>11.1</v>
          </cell>
          <cell r="M434">
            <v>11.17</v>
          </cell>
          <cell r="N434">
            <v>11.16</v>
          </cell>
          <cell r="O434">
            <v>11.12</v>
          </cell>
          <cell r="P434">
            <v>10.88</v>
          </cell>
          <cell r="Q434">
            <v>10.57</v>
          </cell>
        </row>
        <row r="435">
          <cell r="A435" t="str">
            <v xml:space="preserve"> 2/29/80</v>
          </cell>
          <cell r="C435">
            <v>13.95</v>
          </cell>
          <cell r="D435">
            <v>14.92</v>
          </cell>
          <cell r="E435">
            <v>15.05</v>
          </cell>
          <cell r="F435">
            <v>15.29</v>
          </cell>
          <cell r="G435">
            <v>15.42</v>
          </cell>
          <cell r="H435">
            <v>15.25</v>
          </cell>
          <cell r="I435">
            <v>15.16</v>
          </cell>
          <cell r="J435">
            <v>14.26</v>
          </cell>
          <cell r="K435">
            <v>13.82</v>
          </cell>
          <cell r="L435">
            <v>13.46</v>
          </cell>
          <cell r="M435">
            <v>13.06</v>
          </cell>
          <cell r="N435">
            <v>12.57</v>
          </cell>
          <cell r="O435">
            <v>12.09</v>
          </cell>
          <cell r="P435">
            <v>11.58</v>
          </cell>
          <cell r="Q435">
            <v>10.98</v>
          </cell>
        </row>
        <row r="436">
          <cell r="A436" t="str">
            <v xml:space="preserve"> 3/31/80</v>
          </cell>
          <cell r="C436">
            <v>15.9</v>
          </cell>
          <cell r="D436">
            <v>16.27</v>
          </cell>
          <cell r="E436">
            <v>16.27</v>
          </cell>
          <cell r="F436">
            <v>16.22</v>
          </cell>
          <cell r="G436">
            <v>16.190000000000001</v>
          </cell>
          <cell r="H436">
            <v>15.68</v>
          </cell>
          <cell r="I436">
            <v>15.42</v>
          </cell>
          <cell r="J436">
            <v>14.1</v>
          </cell>
          <cell r="K436">
            <v>13.45</v>
          </cell>
          <cell r="L436">
            <v>13.07</v>
          </cell>
          <cell r="M436">
            <v>12.64</v>
          </cell>
          <cell r="N436">
            <v>12.47</v>
          </cell>
          <cell r="O436">
            <v>12.42</v>
          </cell>
          <cell r="P436">
            <v>11.83</v>
          </cell>
          <cell r="Q436">
            <v>11.07</v>
          </cell>
        </row>
        <row r="437">
          <cell r="A437" t="str">
            <v xml:space="preserve"> 4/30/80</v>
          </cell>
          <cell r="C437">
            <v>9.9700000000000006</v>
          </cell>
          <cell r="D437">
            <v>11.51</v>
          </cell>
          <cell r="E437">
            <v>11.68</v>
          </cell>
          <cell r="F437">
            <v>11.75</v>
          </cell>
          <cell r="G437">
            <v>11.79</v>
          </cell>
          <cell r="H437">
            <v>11.56</v>
          </cell>
          <cell r="I437">
            <v>11.45</v>
          </cell>
          <cell r="J437">
            <v>10.77</v>
          </cell>
          <cell r="K437">
            <v>10.43</v>
          </cell>
          <cell r="L437">
            <v>10.55</v>
          </cell>
          <cell r="M437">
            <v>10.7</v>
          </cell>
          <cell r="N437">
            <v>10.8</v>
          </cell>
          <cell r="O437">
            <v>10.86</v>
          </cell>
          <cell r="P437">
            <v>10.64</v>
          </cell>
          <cell r="Q437">
            <v>10.33</v>
          </cell>
        </row>
        <row r="438">
          <cell r="A438" t="str">
            <v xml:space="preserve"> 5/30/80</v>
          </cell>
          <cell r="C438">
            <v>7.49</v>
          </cell>
          <cell r="D438">
            <v>8.2100000000000009</v>
          </cell>
          <cell r="E438">
            <v>8.3699999999999992</v>
          </cell>
          <cell r="F438">
            <v>8.52</v>
          </cell>
          <cell r="G438">
            <v>8.59</v>
          </cell>
          <cell r="H438">
            <v>8.8699999999999992</v>
          </cell>
          <cell r="I438">
            <v>9.01</v>
          </cell>
          <cell r="J438">
            <v>9.39</v>
          </cell>
          <cell r="K438">
            <v>9.58</v>
          </cell>
          <cell r="L438">
            <v>9.89</v>
          </cell>
          <cell r="M438">
            <v>10.26</v>
          </cell>
          <cell r="N438">
            <v>10.5</v>
          </cell>
          <cell r="O438">
            <v>10.67</v>
          </cell>
          <cell r="P438">
            <v>10.49</v>
          </cell>
          <cell r="Q438">
            <v>10.23</v>
          </cell>
        </row>
        <row r="439">
          <cell r="A439" t="str">
            <v xml:space="preserve"> 6/30/80</v>
          </cell>
          <cell r="C439">
            <v>6.45</v>
          </cell>
          <cell r="D439">
            <v>8.1999999999999993</v>
          </cell>
          <cell r="E439">
            <v>8.34</v>
          </cell>
          <cell r="F439">
            <v>8.5</v>
          </cell>
          <cell r="G439">
            <v>8.58</v>
          </cell>
          <cell r="H439">
            <v>8.91</v>
          </cell>
          <cell r="I439">
            <v>9.07</v>
          </cell>
          <cell r="J439">
            <v>9.42</v>
          </cell>
          <cell r="K439">
            <v>9.59</v>
          </cell>
          <cell r="L439">
            <v>9.76</v>
          </cell>
          <cell r="M439">
            <v>9.9600000000000009</v>
          </cell>
          <cell r="N439">
            <v>10.14</v>
          </cell>
          <cell r="O439">
            <v>10.3</v>
          </cell>
          <cell r="P439">
            <v>10.26</v>
          </cell>
          <cell r="Q439">
            <v>10.18</v>
          </cell>
        </row>
        <row r="440">
          <cell r="A440" t="str">
            <v xml:space="preserve"> 7/31/80</v>
          </cell>
          <cell r="C440">
            <v>7.62</v>
          </cell>
          <cell r="D440">
            <v>8.99</v>
          </cell>
          <cell r="E440">
            <v>9.0299999999999994</v>
          </cell>
          <cell r="F440">
            <v>8.99</v>
          </cell>
          <cell r="G440">
            <v>8.9700000000000006</v>
          </cell>
          <cell r="H440">
            <v>9.34</v>
          </cell>
          <cell r="I440">
            <v>9.52</v>
          </cell>
          <cell r="J440">
            <v>10.02</v>
          </cell>
          <cell r="K440">
            <v>10.27</v>
          </cell>
          <cell r="L440">
            <v>10.4</v>
          </cell>
          <cell r="M440">
            <v>10.55</v>
          </cell>
          <cell r="N440">
            <v>10.61</v>
          </cell>
          <cell r="O440">
            <v>10.63</v>
          </cell>
          <cell r="P440">
            <v>10.43</v>
          </cell>
          <cell r="Q440">
            <v>10.15</v>
          </cell>
        </row>
        <row r="441">
          <cell r="A441" t="str">
            <v xml:space="preserve"> 8/29/80</v>
          </cell>
          <cell r="C441">
            <v>9.3699999999999992</v>
          </cell>
          <cell r="D441">
            <v>10.4</v>
          </cell>
          <cell r="E441">
            <v>10.75</v>
          </cell>
          <cell r="F441">
            <v>10.87</v>
          </cell>
          <cell r="G441">
            <v>10.94</v>
          </cell>
          <cell r="H441">
            <v>11.37</v>
          </cell>
          <cell r="I441">
            <v>11.6</v>
          </cell>
          <cell r="J441">
            <v>11.56</v>
          </cell>
          <cell r="K441">
            <v>11.54</v>
          </cell>
          <cell r="L441">
            <v>11.46</v>
          </cell>
          <cell r="M441">
            <v>11.37</v>
          </cell>
          <cell r="N441">
            <v>11.58</v>
          </cell>
          <cell r="O441">
            <v>11.9</v>
          </cell>
          <cell r="P441">
            <v>11.34</v>
          </cell>
          <cell r="Q441">
            <v>10.54</v>
          </cell>
        </row>
        <row r="442">
          <cell r="A442" t="str">
            <v xml:space="preserve"> 9/30/80</v>
          </cell>
          <cell r="C442">
            <v>11.54</v>
          </cell>
          <cell r="D442">
            <v>11.78</v>
          </cell>
          <cell r="E442">
            <v>12.35</v>
          </cell>
          <cell r="F442">
            <v>12.43</v>
          </cell>
          <cell r="G442">
            <v>12.46</v>
          </cell>
          <cell r="H442">
            <v>12.49</v>
          </cell>
          <cell r="I442">
            <v>12.5</v>
          </cell>
          <cell r="J442">
            <v>12.23</v>
          </cell>
          <cell r="K442">
            <v>12.09</v>
          </cell>
          <cell r="L442">
            <v>12</v>
          </cell>
          <cell r="M442">
            <v>11.89</v>
          </cell>
          <cell r="N442">
            <v>11.97</v>
          </cell>
          <cell r="O442">
            <v>12.12</v>
          </cell>
          <cell r="P442">
            <v>11.7</v>
          </cell>
          <cell r="Q442">
            <v>11.13</v>
          </cell>
        </row>
        <row r="443">
          <cell r="A443" t="str">
            <v>10/30/80</v>
          </cell>
          <cell r="C443">
            <v>11.55</v>
          </cell>
          <cell r="D443">
            <v>13.6</v>
          </cell>
          <cell r="E443">
            <v>13.54</v>
          </cell>
          <cell r="F443">
            <v>13.46</v>
          </cell>
          <cell r="G443">
            <v>13.42</v>
          </cell>
          <cell r="H443">
            <v>13.22</v>
          </cell>
          <cell r="I443">
            <v>13.13</v>
          </cell>
          <cell r="J443">
            <v>13.04</v>
          </cell>
          <cell r="K443">
            <v>12.99</v>
          </cell>
          <cell r="L443">
            <v>12.78</v>
          </cell>
          <cell r="M443">
            <v>12.53</v>
          </cell>
          <cell r="N443">
            <v>12.44</v>
          </cell>
          <cell r="O443">
            <v>12.42</v>
          </cell>
          <cell r="P443">
            <v>12.02</v>
          </cell>
          <cell r="Q443">
            <v>11.49</v>
          </cell>
        </row>
        <row r="444">
          <cell r="A444" t="str">
            <v>11/28/80</v>
          </cell>
          <cell r="C444">
            <v>15.13</v>
          </cell>
          <cell r="D444">
            <v>15.73</v>
          </cell>
          <cell r="E444">
            <v>15.38</v>
          </cell>
          <cell r="F444">
            <v>14.94</v>
          </cell>
          <cell r="G444">
            <v>14.71</v>
          </cell>
          <cell r="H444">
            <v>14.22</v>
          </cell>
          <cell r="I444">
            <v>13.98</v>
          </cell>
          <cell r="J444">
            <v>13.32</v>
          </cell>
          <cell r="K444">
            <v>12.99</v>
          </cell>
          <cell r="L444">
            <v>12.9</v>
          </cell>
          <cell r="M444">
            <v>12.79</v>
          </cell>
          <cell r="N444">
            <v>12.56</v>
          </cell>
          <cell r="O444">
            <v>12.29</v>
          </cell>
          <cell r="P444">
            <v>11.68</v>
          </cell>
          <cell r="Q444">
            <v>10.93</v>
          </cell>
        </row>
        <row r="445">
          <cell r="A445" t="str">
            <v>12/31/80</v>
          </cell>
          <cell r="C445">
            <v>13.16</v>
          </cell>
          <cell r="D445">
            <v>15.38</v>
          </cell>
          <cell r="E445">
            <v>15.07</v>
          </cell>
          <cell r="F445">
            <v>14.09</v>
          </cell>
          <cell r="G445">
            <v>13.61</v>
          </cell>
          <cell r="H445">
            <v>13.17</v>
          </cell>
          <cell r="I445">
            <v>12.95</v>
          </cell>
          <cell r="J445">
            <v>12.79</v>
          </cell>
          <cell r="K445">
            <v>12.71</v>
          </cell>
          <cell r="L445">
            <v>12.5</v>
          </cell>
          <cell r="M445">
            <v>12.26</v>
          </cell>
          <cell r="N445">
            <v>12.18</v>
          </cell>
          <cell r="O445">
            <v>12.18</v>
          </cell>
          <cell r="P445">
            <v>11.55</v>
          </cell>
          <cell r="Q445">
            <v>10.75</v>
          </cell>
        </row>
        <row r="446">
          <cell r="A446" t="str">
            <v xml:space="preserve"> 1/30/81</v>
          </cell>
          <cell r="C446">
            <v>14.64</v>
          </cell>
          <cell r="D446">
            <v>15.85</v>
          </cell>
          <cell r="E446">
            <v>15.17</v>
          </cell>
          <cell r="F446">
            <v>14.59</v>
          </cell>
          <cell r="G446">
            <v>14.3</v>
          </cell>
          <cell r="H446">
            <v>13.72</v>
          </cell>
          <cell r="I446">
            <v>13.43</v>
          </cell>
          <cell r="J446">
            <v>12.99</v>
          </cell>
          <cell r="K446">
            <v>12.78</v>
          </cell>
          <cell r="L446">
            <v>12.67</v>
          </cell>
          <cell r="M446">
            <v>12.54</v>
          </cell>
          <cell r="N446">
            <v>12.46</v>
          </cell>
          <cell r="O446">
            <v>12.4</v>
          </cell>
          <cell r="P446">
            <v>11.74</v>
          </cell>
          <cell r="Q446">
            <v>10.91</v>
          </cell>
        </row>
        <row r="447">
          <cell r="A447" t="str">
            <v xml:space="preserve"> 2/27/81</v>
          </cell>
          <cell r="C447">
            <v>14.55</v>
          </cell>
          <cell r="D447">
            <v>15.2</v>
          </cell>
          <cell r="E447">
            <v>15.01</v>
          </cell>
          <cell r="F447">
            <v>14.55</v>
          </cell>
          <cell r="G447">
            <v>14.31</v>
          </cell>
          <cell r="H447">
            <v>14.05</v>
          </cell>
          <cell r="I447">
            <v>13.91</v>
          </cell>
          <cell r="J447">
            <v>13.91</v>
          </cell>
          <cell r="K447">
            <v>13.91</v>
          </cell>
          <cell r="L447">
            <v>13.69</v>
          </cell>
          <cell r="M447">
            <v>13.44</v>
          </cell>
          <cell r="N447">
            <v>13.17</v>
          </cell>
          <cell r="O447">
            <v>12.91</v>
          </cell>
          <cell r="P447">
            <v>12.36</v>
          </cell>
          <cell r="Q447">
            <v>11.68</v>
          </cell>
        </row>
        <row r="448">
          <cell r="A448" t="str">
            <v xml:space="preserve"> 3/31/81</v>
          </cell>
          <cell r="C448">
            <v>13.53</v>
          </cell>
          <cell r="D448">
            <v>13.29</v>
          </cell>
          <cell r="E448">
            <v>12.94</v>
          </cell>
          <cell r="F448">
            <v>13.11</v>
          </cell>
          <cell r="G448">
            <v>13.19</v>
          </cell>
          <cell r="H448">
            <v>13.37</v>
          </cell>
          <cell r="I448">
            <v>13.45</v>
          </cell>
          <cell r="J448">
            <v>13.39</v>
          </cell>
          <cell r="K448">
            <v>13.36</v>
          </cell>
          <cell r="L448">
            <v>13.28</v>
          </cell>
          <cell r="M448">
            <v>13.19</v>
          </cell>
          <cell r="N448">
            <v>12.93</v>
          </cell>
          <cell r="O448">
            <v>12.61</v>
          </cell>
          <cell r="P448">
            <v>12.04</v>
          </cell>
          <cell r="Q448">
            <v>11.37</v>
          </cell>
        </row>
        <row r="449">
          <cell r="A449" t="str">
            <v xml:space="preserve"> 4/30/81</v>
          </cell>
          <cell r="C449">
            <v>14.1</v>
          </cell>
          <cell r="D449">
            <v>15.84</v>
          </cell>
          <cell r="E449">
            <v>15.27</v>
          </cell>
          <cell r="F449">
            <v>15.17</v>
          </cell>
          <cell r="G449">
            <v>15.12</v>
          </cell>
          <cell r="H449">
            <v>14.91</v>
          </cell>
          <cell r="I449">
            <v>14.8</v>
          </cell>
          <cell r="J449">
            <v>14.62</v>
          </cell>
          <cell r="K449">
            <v>14.53</v>
          </cell>
          <cell r="L449">
            <v>14.33</v>
          </cell>
          <cell r="M449">
            <v>14.1</v>
          </cell>
          <cell r="N449">
            <v>13.79</v>
          </cell>
          <cell r="O449">
            <v>13.47</v>
          </cell>
          <cell r="P449">
            <v>12.86</v>
          </cell>
          <cell r="Q449">
            <v>12.12</v>
          </cell>
        </row>
        <row r="450">
          <cell r="A450" t="str">
            <v xml:space="preserve"> 5/29/81</v>
          </cell>
          <cell r="C450">
            <v>16.47</v>
          </cell>
          <cell r="D450">
            <v>16.61</v>
          </cell>
          <cell r="E450">
            <v>15.96</v>
          </cell>
          <cell r="F450">
            <v>15.44</v>
          </cell>
          <cell r="G450">
            <v>15.18</v>
          </cell>
          <cell r="H450">
            <v>15</v>
          </cell>
          <cell r="I450">
            <v>14.91</v>
          </cell>
          <cell r="J450">
            <v>14.3</v>
          </cell>
          <cell r="K450">
            <v>14</v>
          </cell>
          <cell r="L450">
            <v>13.72</v>
          </cell>
          <cell r="M450">
            <v>13.4</v>
          </cell>
          <cell r="N450">
            <v>13.2</v>
          </cell>
          <cell r="O450">
            <v>13.05</v>
          </cell>
          <cell r="P450">
            <v>12.33</v>
          </cell>
          <cell r="Q450">
            <v>11.43</v>
          </cell>
        </row>
        <row r="451">
          <cell r="A451" t="str">
            <v xml:space="preserve"> 6/30/81</v>
          </cell>
          <cell r="C451">
            <v>15.02</v>
          </cell>
          <cell r="D451">
            <v>15.51</v>
          </cell>
          <cell r="E451">
            <v>15.4</v>
          </cell>
          <cell r="F451">
            <v>15.17</v>
          </cell>
          <cell r="G451">
            <v>15.05</v>
          </cell>
          <cell r="H451">
            <v>14.96</v>
          </cell>
          <cell r="I451">
            <v>14.91</v>
          </cell>
          <cell r="J451">
            <v>14.32</v>
          </cell>
          <cell r="K451">
            <v>14.03</v>
          </cell>
          <cell r="L451">
            <v>13.85</v>
          </cell>
          <cell r="M451">
            <v>13.66</v>
          </cell>
          <cell r="N451">
            <v>13.38</v>
          </cell>
          <cell r="O451">
            <v>13.09</v>
          </cell>
          <cell r="P451">
            <v>12.33</v>
          </cell>
          <cell r="Q451">
            <v>11.42</v>
          </cell>
        </row>
        <row r="452">
          <cell r="A452" t="str">
            <v xml:space="preserve"> 7/31/81</v>
          </cell>
          <cell r="C452">
            <v>16.22</v>
          </cell>
          <cell r="D452">
            <v>16.29</v>
          </cell>
          <cell r="E452">
            <v>16.239999999999998</v>
          </cell>
          <cell r="F452">
            <v>16.29</v>
          </cell>
          <cell r="G452">
            <v>16.309999999999999</v>
          </cell>
          <cell r="H452">
            <v>16.100000000000001</v>
          </cell>
          <cell r="I452">
            <v>15.99</v>
          </cell>
          <cell r="J452">
            <v>15.62</v>
          </cell>
          <cell r="K452">
            <v>15.43</v>
          </cell>
          <cell r="L452">
            <v>15.07</v>
          </cell>
          <cell r="M452">
            <v>14.65</v>
          </cell>
          <cell r="N452">
            <v>14.22</v>
          </cell>
          <cell r="O452">
            <v>13.81</v>
          </cell>
          <cell r="P452">
            <v>12.96</v>
          </cell>
          <cell r="Q452">
            <v>11.92</v>
          </cell>
        </row>
        <row r="453">
          <cell r="A453" t="str">
            <v xml:space="preserve"> 8/31/81</v>
          </cell>
          <cell r="C453">
            <v>15.67</v>
          </cell>
          <cell r="D453">
            <v>16.73</v>
          </cell>
          <cell r="E453">
            <v>17.05</v>
          </cell>
          <cell r="F453">
            <v>17</v>
          </cell>
          <cell r="G453">
            <v>16.97</v>
          </cell>
          <cell r="H453">
            <v>16.899999999999999</v>
          </cell>
          <cell r="I453">
            <v>16.86</v>
          </cell>
          <cell r="J453">
            <v>16.32</v>
          </cell>
          <cell r="K453">
            <v>16.05</v>
          </cell>
          <cell r="L453">
            <v>15.78</v>
          </cell>
          <cell r="M453">
            <v>15.47</v>
          </cell>
          <cell r="N453">
            <v>14.94</v>
          </cell>
          <cell r="O453">
            <v>14.36</v>
          </cell>
          <cell r="P453">
            <v>13.76</v>
          </cell>
          <cell r="Q453">
            <v>13.08</v>
          </cell>
        </row>
        <row r="454">
          <cell r="A454" t="str">
            <v xml:space="preserve"> 9/30/81</v>
          </cell>
          <cell r="C454">
            <v>14.11</v>
          </cell>
          <cell r="D454">
            <v>15.05</v>
          </cell>
          <cell r="E454">
            <v>16.22</v>
          </cell>
          <cell r="F454">
            <v>16.43</v>
          </cell>
          <cell r="G454">
            <v>16.54</v>
          </cell>
          <cell r="H454">
            <v>16.75</v>
          </cell>
          <cell r="I454">
            <v>16.86</v>
          </cell>
          <cell r="J454">
            <v>16.54</v>
          </cell>
          <cell r="K454">
            <v>16.38</v>
          </cell>
          <cell r="L454">
            <v>16.059999999999999</v>
          </cell>
          <cell r="M454">
            <v>15.69</v>
          </cell>
          <cell r="N454">
            <v>15.48</v>
          </cell>
          <cell r="O454">
            <v>15.36</v>
          </cell>
          <cell r="P454">
            <v>14.25</v>
          </cell>
          <cell r="Q454">
            <v>12.83</v>
          </cell>
        </row>
        <row r="455">
          <cell r="A455" t="str">
            <v>10/30/81</v>
          </cell>
          <cell r="C455">
            <v>13.16</v>
          </cell>
          <cell r="D455">
            <v>13.6</v>
          </cell>
          <cell r="E455">
            <v>14.04</v>
          </cell>
          <cell r="F455">
            <v>14.23</v>
          </cell>
          <cell r="G455">
            <v>14.32</v>
          </cell>
          <cell r="H455">
            <v>14.58</v>
          </cell>
          <cell r="I455">
            <v>14.71</v>
          </cell>
          <cell r="J455">
            <v>14.74</v>
          </cell>
          <cell r="K455">
            <v>14.75</v>
          </cell>
          <cell r="L455">
            <v>14.67</v>
          </cell>
          <cell r="M455">
            <v>14.58</v>
          </cell>
          <cell r="N455">
            <v>14.54</v>
          </cell>
          <cell r="O455">
            <v>14.52</v>
          </cell>
          <cell r="P455">
            <v>13.81</v>
          </cell>
          <cell r="Q455">
            <v>12.9</v>
          </cell>
        </row>
        <row r="456">
          <cell r="A456" t="str">
            <v>11/30/81</v>
          </cell>
          <cell r="C456">
            <v>10.67</v>
          </cell>
          <cell r="D456">
            <v>11.33</v>
          </cell>
          <cell r="E456">
            <v>11.81</v>
          </cell>
          <cell r="F456">
            <v>12.12</v>
          </cell>
          <cell r="G456">
            <v>12.27</v>
          </cell>
          <cell r="H456">
            <v>12.67</v>
          </cell>
          <cell r="I456">
            <v>12.87</v>
          </cell>
          <cell r="J456">
            <v>13.03</v>
          </cell>
          <cell r="K456">
            <v>13.11</v>
          </cell>
          <cell r="L456">
            <v>13.2</v>
          </cell>
          <cell r="M456">
            <v>13.29</v>
          </cell>
          <cell r="N456">
            <v>13.24</v>
          </cell>
          <cell r="O456">
            <v>13.12</v>
          </cell>
          <cell r="P456">
            <v>12.78</v>
          </cell>
          <cell r="Q456">
            <v>12.37</v>
          </cell>
        </row>
        <row r="457">
          <cell r="A457" t="str">
            <v>12/31/81</v>
          </cell>
          <cell r="C457">
            <v>9.9499999999999993</v>
          </cell>
          <cell r="D457">
            <v>11.86</v>
          </cell>
          <cell r="E457">
            <v>12.93</v>
          </cell>
          <cell r="F457">
            <v>13.3</v>
          </cell>
          <cell r="G457">
            <v>13.48</v>
          </cell>
          <cell r="H457">
            <v>13.82</v>
          </cell>
          <cell r="I457">
            <v>13.99</v>
          </cell>
          <cell r="J457">
            <v>14.05</v>
          </cell>
          <cell r="K457">
            <v>14.08</v>
          </cell>
          <cell r="L457">
            <v>14.06</v>
          </cell>
          <cell r="M457">
            <v>14.04</v>
          </cell>
          <cell r="N457">
            <v>13.98</v>
          </cell>
          <cell r="O457">
            <v>13.89</v>
          </cell>
          <cell r="P457">
            <v>13.13</v>
          </cell>
          <cell r="Q457">
            <v>12.2</v>
          </cell>
        </row>
        <row r="458">
          <cell r="A458" t="str">
            <v xml:space="preserve"> 1/29/82</v>
          </cell>
          <cell r="C458">
            <v>12.39</v>
          </cell>
          <cell r="D458">
            <v>13.52</v>
          </cell>
          <cell r="E458">
            <v>13.68</v>
          </cell>
          <cell r="F458">
            <v>14</v>
          </cell>
          <cell r="G458">
            <v>14.17</v>
          </cell>
          <cell r="H458">
            <v>14.39</v>
          </cell>
          <cell r="I458">
            <v>14.49</v>
          </cell>
          <cell r="J458">
            <v>14.36</v>
          </cell>
          <cell r="K458">
            <v>14.3</v>
          </cell>
          <cell r="L458">
            <v>14.28</v>
          </cell>
          <cell r="M458">
            <v>14.26</v>
          </cell>
          <cell r="N458">
            <v>14.23</v>
          </cell>
          <cell r="O458">
            <v>14.18</v>
          </cell>
          <cell r="P458">
            <v>13.41</v>
          </cell>
          <cell r="Q458">
            <v>12.44</v>
          </cell>
        </row>
        <row r="459">
          <cell r="A459" t="str">
            <v xml:space="preserve"> 2/26/82</v>
          </cell>
          <cell r="C459">
            <v>12.46</v>
          </cell>
          <cell r="D459">
            <v>13.66</v>
          </cell>
          <cell r="E459">
            <v>14.03</v>
          </cell>
          <cell r="F459">
            <v>14.21</v>
          </cell>
          <cell r="G459">
            <v>14.3</v>
          </cell>
          <cell r="H459">
            <v>14.43</v>
          </cell>
          <cell r="I459">
            <v>14.49</v>
          </cell>
          <cell r="J459">
            <v>14.34</v>
          </cell>
          <cell r="K459">
            <v>14.27</v>
          </cell>
          <cell r="L459">
            <v>14.14</v>
          </cell>
          <cell r="M459">
            <v>14</v>
          </cell>
          <cell r="N459">
            <v>14.01</v>
          </cell>
          <cell r="O459">
            <v>14.1</v>
          </cell>
          <cell r="P459">
            <v>13.38</v>
          </cell>
          <cell r="Q459">
            <v>12.49</v>
          </cell>
        </row>
        <row r="460">
          <cell r="A460" t="str">
            <v xml:space="preserve"> 3/31/82</v>
          </cell>
          <cell r="C460">
            <v>13.98</v>
          </cell>
          <cell r="D460">
            <v>14.2</v>
          </cell>
          <cell r="E460">
            <v>14.24</v>
          </cell>
          <cell r="F460">
            <v>14.33</v>
          </cell>
          <cell r="G460">
            <v>14.38</v>
          </cell>
          <cell r="H460">
            <v>14.55</v>
          </cell>
          <cell r="I460">
            <v>14.63</v>
          </cell>
          <cell r="J460">
            <v>14.5</v>
          </cell>
          <cell r="K460">
            <v>14.43</v>
          </cell>
          <cell r="L460">
            <v>14.35</v>
          </cell>
          <cell r="M460">
            <v>14.27</v>
          </cell>
          <cell r="N460">
            <v>13.93</v>
          </cell>
          <cell r="O460">
            <v>13.52</v>
          </cell>
          <cell r="P460">
            <v>13.02</v>
          </cell>
          <cell r="Q460">
            <v>12.47</v>
          </cell>
        </row>
        <row r="461">
          <cell r="A461" t="str">
            <v xml:space="preserve"> 4/30/82</v>
          </cell>
          <cell r="C461">
            <v>12.85</v>
          </cell>
          <cell r="D461">
            <v>13.36</v>
          </cell>
          <cell r="E461">
            <v>13.37</v>
          </cell>
          <cell r="F461">
            <v>13.77</v>
          </cell>
          <cell r="G461">
            <v>13.98</v>
          </cell>
          <cell r="H461">
            <v>14.1</v>
          </cell>
          <cell r="I461">
            <v>14.16</v>
          </cell>
          <cell r="J461">
            <v>13.97</v>
          </cell>
          <cell r="K461">
            <v>13.87</v>
          </cell>
          <cell r="L461">
            <v>13.83</v>
          </cell>
          <cell r="M461">
            <v>13.79</v>
          </cell>
          <cell r="N461">
            <v>13.55</v>
          </cell>
          <cell r="O461">
            <v>13.26</v>
          </cell>
          <cell r="P461">
            <v>12.81</v>
          </cell>
          <cell r="Q461">
            <v>12.32</v>
          </cell>
        </row>
        <row r="462">
          <cell r="A462" t="str">
            <v xml:space="preserve"> 5/28/82</v>
          </cell>
          <cell r="C462">
            <v>11.9</v>
          </cell>
          <cell r="D462">
            <v>12.36</v>
          </cell>
          <cell r="E462">
            <v>12.49</v>
          </cell>
          <cell r="F462">
            <v>12.92</v>
          </cell>
          <cell r="G462">
            <v>13.14</v>
          </cell>
          <cell r="H462">
            <v>13.49</v>
          </cell>
          <cell r="I462">
            <v>13.66</v>
          </cell>
          <cell r="J462">
            <v>13.75</v>
          </cell>
          <cell r="K462">
            <v>13.8</v>
          </cell>
          <cell r="L462">
            <v>13.77</v>
          </cell>
          <cell r="M462">
            <v>13.74</v>
          </cell>
          <cell r="N462">
            <v>13.61</v>
          </cell>
          <cell r="O462">
            <v>13.46</v>
          </cell>
          <cell r="P462">
            <v>12.95</v>
          </cell>
          <cell r="Q462">
            <v>12.38</v>
          </cell>
        </row>
        <row r="463">
          <cell r="A463" t="str">
            <v xml:space="preserve"> 6/30/82</v>
          </cell>
          <cell r="C463">
            <v>11.89</v>
          </cell>
          <cell r="D463">
            <v>13.63</v>
          </cell>
          <cell r="E463">
            <v>14.15</v>
          </cell>
          <cell r="F463">
            <v>14.36</v>
          </cell>
          <cell r="G463">
            <v>14.47</v>
          </cell>
          <cell r="H463">
            <v>14.65</v>
          </cell>
          <cell r="I463">
            <v>14.73</v>
          </cell>
          <cell r="J463">
            <v>14.66</v>
          </cell>
          <cell r="K463">
            <v>14.62</v>
          </cell>
          <cell r="L463">
            <v>14.51</v>
          </cell>
          <cell r="M463">
            <v>14.38</v>
          </cell>
          <cell r="N463">
            <v>14.07</v>
          </cell>
          <cell r="O463">
            <v>13.72</v>
          </cell>
          <cell r="P463">
            <v>13.24</v>
          </cell>
          <cell r="Q463">
            <v>12.71</v>
          </cell>
        </row>
        <row r="464">
          <cell r="A464" t="str">
            <v xml:space="preserve"> 7/30/82</v>
          </cell>
          <cell r="C464">
            <v>9.16</v>
          </cell>
          <cell r="D464">
            <v>10.44</v>
          </cell>
          <cell r="E464">
            <v>11.64</v>
          </cell>
          <cell r="F464">
            <v>12.47</v>
          </cell>
          <cell r="G464">
            <v>12.9</v>
          </cell>
          <cell r="H464">
            <v>13.22</v>
          </cell>
          <cell r="I464">
            <v>13.38</v>
          </cell>
          <cell r="J464">
            <v>13.6</v>
          </cell>
          <cell r="K464">
            <v>13.7</v>
          </cell>
          <cell r="L464">
            <v>13.68</v>
          </cell>
          <cell r="M464">
            <v>13.64</v>
          </cell>
          <cell r="N464">
            <v>13.54</v>
          </cell>
          <cell r="O464">
            <v>13.42</v>
          </cell>
          <cell r="P464">
            <v>13.03</v>
          </cell>
          <cell r="Q464">
            <v>12.6</v>
          </cell>
        </row>
        <row r="465">
          <cell r="A465" t="str">
            <v xml:space="preserve"> 8/31/82</v>
          </cell>
          <cell r="C465">
            <v>6.48</v>
          </cell>
          <cell r="D465">
            <v>8.58</v>
          </cell>
          <cell r="E465">
            <v>10.11</v>
          </cell>
          <cell r="F465">
            <v>11</v>
          </cell>
          <cell r="G465">
            <v>11.45</v>
          </cell>
          <cell r="H465">
            <v>11.94</v>
          </cell>
          <cell r="I465">
            <v>12.18</v>
          </cell>
          <cell r="J465">
            <v>12.53</v>
          </cell>
          <cell r="K465">
            <v>12.7</v>
          </cell>
          <cell r="L465">
            <v>12.74</v>
          </cell>
          <cell r="M465">
            <v>12.79</v>
          </cell>
          <cell r="N465">
            <v>12.57</v>
          </cell>
          <cell r="O465">
            <v>12.25</v>
          </cell>
          <cell r="P465">
            <v>12.23</v>
          </cell>
          <cell r="Q465">
            <v>12.25</v>
          </cell>
        </row>
        <row r="466">
          <cell r="A466" t="str">
            <v xml:space="preserve"> 9/30/82</v>
          </cell>
          <cell r="C466">
            <v>7.21</v>
          </cell>
          <cell r="D466">
            <v>7.91</v>
          </cell>
          <cell r="E466">
            <v>9.44</v>
          </cell>
          <cell r="F466">
            <v>10.130000000000001</v>
          </cell>
          <cell r="G466">
            <v>10.48</v>
          </cell>
          <cell r="H466">
            <v>11.2</v>
          </cell>
          <cell r="I466">
            <v>11.56</v>
          </cell>
          <cell r="J466">
            <v>11.74</v>
          </cell>
          <cell r="K466">
            <v>11.83</v>
          </cell>
          <cell r="L466">
            <v>11.86</v>
          </cell>
          <cell r="M466">
            <v>11.9</v>
          </cell>
          <cell r="N466">
            <v>11.8</v>
          </cell>
          <cell r="O466">
            <v>11.65</v>
          </cell>
          <cell r="P466">
            <v>11.42</v>
          </cell>
          <cell r="Q466">
            <v>11.17</v>
          </cell>
        </row>
        <row r="467">
          <cell r="A467" t="str">
            <v>10/29/82</v>
          </cell>
          <cell r="C467">
            <v>7.75</v>
          </cell>
          <cell r="D467">
            <v>8.35</v>
          </cell>
          <cell r="E467">
            <v>8.8699999999999992</v>
          </cell>
          <cell r="F467">
            <v>9.3000000000000007</v>
          </cell>
          <cell r="G467">
            <v>9.52</v>
          </cell>
          <cell r="H467">
            <v>9.93</v>
          </cell>
          <cell r="I467">
            <v>10.130000000000001</v>
          </cell>
          <cell r="J467">
            <v>10.55</v>
          </cell>
          <cell r="K467">
            <v>10.76</v>
          </cell>
          <cell r="L467">
            <v>10.84</v>
          </cell>
          <cell r="M467">
            <v>10.92</v>
          </cell>
          <cell r="N467">
            <v>10.88</v>
          </cell>
          <cell r="O467">
            <v>10.8</v>
          </cell>
          <cell r="P467">
            <v>10.68</v>
          </cell>
          <cell r="Q467">
            <v>10.56</v>
          </cell>
        </row>
        <row r="468">
          <cell r="A468" t="str">
            <v>11/30/82</v>
          </cell>
          <cell r="C468">
            <v>7.84</v>
          </cell>
          <cell r="D468">
            <v>8.65</v>
          </cell>
          <cell r="E468">
            <v>8.9700000000000006</v>
          </cell>
          <cell r="F468">
            <v>9.2899999999999991</v>
          </cell>
          <cell r="G468">
            <v>9.4600000000000009</v>
          </cell>
          <cell r="H468">
            <v>9.85</v>
          </cell>
          <cell r="I468">
            <v>10.050000000000001</v>
          </cell>
          <cell r="J468">
            <v>10.48</v>
          </cell>
          <cell r="K468">
            <v>10.7</v>
          </cell>
          <cell r="L468">
            <v>10.88</v>
          </cell>
          <cell r="M468">
            <v>11.1</v>
          </cell>
          <cell r="N468">
            <v>11.08</v>
          </cell>
          <cell r="O468">
            <v>10.97</v>
          </cell>
          <cell r="P468">
            <v>10.86</v>
          </cell>
          <cell r="Q468">
            <v>10.74</v>
          </cell>
        </row>
        <row r="469">
          <cell r="A469" t="str">
            <v>12/31/82</v>
          </cell>
          <cell r="C469">
            <v>8.4</v>
          </cell>
          <cell r="D469">
            <v>8.4700000000000006</v>
          </cell>
          <cell r="E469">
            <v>8.56</v>
          </cell>
          <cell r="F469">
            <v>8.81</v>
          </cell>
          <cell r="G469">
            <v>8.94</v>
          </cell>
          <cell r="H469">
            <v>9.41</v>
          </cell>
          <cell r="I469">
            <v>9.64</v>
          </cell>
          <cell r="J469">
            <v>10.09</v>
          </cell>
          <cell r="K469">
            <v>10.31</v>
          </cell>
          <cell r="L469">
            <v>10.48</v>
          </cell>
          <cell r="M469">
            <v>10.68</v>
          </cell>
          <cell r="N469">
            <v>10.79</v>
          </cell>
          <cell r="O469">
            <v>10.86</v>
          </cell>
          <cell r="P469">
            <v>10.67</v>
          </cell>
          <cell r="Q469">
            <v>10.4</v>
          </cell>
        </row>
        <row r="470">
          <cell r="A470" t="str">
            <v xml:space="preserve"> 1/31/83</v>
          </cell>
          <cell r="C470">
            <v>8.15</v>
          </cell>
          <cell r="D470">
            <v>8.6</v>
          </cell>
          <cell r="E470">
            <v>8.7100000000000009</v>
          </cell>
          <cell r="F470">
            <v>8.98</v>
          </cell>
          <cell r="G470">
            <v>9.1199999999999992</v>
          </cell>
          <cell r="H470">
            <v>9.57</v>
          </cell>
          <cell r="I470">
            <v>9.7899999999999991</v>
          </cell>
          <cell r="J470">
            <v>10.25</v>
          </cell>
          <cell r="K470">
            <v>10.48</v>
          </cell>
          <cell r="L470">
            <v>10.78</v>
          </cell>
          <cell r="M470">
            <v>11.12</v>
          </cell>
          <cell r="N470">
            <v>11.29</v>
          </cell>
          <cell r="O470">
            <v>11.37</v>
          </cell>
          <cell r="P470">
            <v>11.36</v>
          </cell>
          <cell r="Q470">
            <v>11.34</v>
          </cell>
        </row>
        <row r="471">
          <cell r="A471" t="str">
            <v xml:space="preserve"> 2/28/83</v>
          </cell>
          <cell r="C471">
            <v>7.6</v>
          </cell>
          <cell r="D471">
            <v>8.3000000000000007</v>
          </cell>
          <cell r="E471">
            <v>8.4</v>
          </cell>
          <cell r="F471">
            <v>8.61</v>
          </cell>
          <cell r="G471">
            <v>8.7100000000000009</v>
          </cell>
          <cell r="H471">
            <v>9.1999999999999993</v>
          </cell>
          <cell r="I471">
            <v>9.44</v>
          </cell>
          <cell r="J471">
            <v>9.83</v>
          </cell>
          <cell r="K471">
            <v>10.02</v>
          </cell>
          <cell r="L471">
            <v>10.24</v>
          </cell>
          <cell r="M471">
            <v>10.49</v>
          </cell>
          <cell r="N471">
            <v>10.72</v>
          </cell>
          <cell r="O471">
            <v>10.91</v>
          </cell>
          <cell r="P471">
            <v>10.84</v>
          </cell>
          <cell r="Q471">
            <v>10.71</v>
          </cell>
        </row>
        <row r="472">
          <cell r="A472" t="str">
            <v xml:space="preserve"> 3/31/83</v>
          </cell>
          <cell r="C472">
            <v>8.75</v>
          </cell>
          <cell r="D472">
            <v>9.17</v>
          </cell>
          <cell r="E472">
            <v>9.19</v>
          </cell>
          <cell r="F472">
            <v>9.31</v>
          </cell>
          <cell r="G472">
            <v>9.3699999999999992</v>
          </cell>
          <cell r="H472">
            <v>9.75</v>
          </cell>
          <cell r="I472">
            <v>9.94</v>
          </cell>
          <cell r="J472">
            <v>10.26</v>
          </cell>
          <cell r="K472">
            <v>10.42</v>
          </cell>
          <cell r="L472">
            <v>10.6</v>
          </cell>
          <cell r="M472">
            <v>10.81</v>
          </cell>
          <cell r="N472">
            <v>10.96</v>
          </cell>
          <cell r="O472">
            <v>11.07</v>
          </cell>
          <cell r="P472">
            <v>10.89</v>
          </cell>
          <cell r="Q472">
            <v>10.64</v>
          </cell>
        </row>
        <row r="473">
          <cell r="A473" t="str">
            <v xml:space="preserve"> 4/29/83</v>
          </cell>
          <cell r="C473">
            <v>8.2100000000000009</v>
          </cell>
          <cell r="D473">
            <v>8.6199999999999992</v>
          </cell>
          <cell r="E473">
            <v>8.57</v>
          </cell>
          <cell r="F473">
            <v>8.6999999999999993</v>
          </cell>
          <cell r="G473">
            <v>8.77</v>
          </cell>
          <cell r="H473">
            <v>9.14</v>
          </cell>
          <cell r="I473">
            <v>9.33</v>
          </cell>
          <cell r="J473">
            <v>9.73</v>
          </cell>
          <cell r="K473">
            <v>9.92</v>
          </cell>
          <cell r="L473">
            <v>10.16</v>
          </cell>
          <cell r="M473">
            <v>10.44</v>
          </cell>
          <cell r="N473">
            <v>10.58</v>
          </cell>
          <cell r="O473">
            <v>10.65</v>
          </cell>
          <cell r="P473">
            <v>10.56</v>
          </cell>
          <cell r="Q473">
            <v>10.46</v>
          </cell>
        </row>
        <row r="474">
          <cell r="A474" t="str">
            <v xml:space="preserve"> 5/31/83</v>
          </cell>
          <cell r="C474">
            <v>8.35</v>
          </cell>
          <cell r="D474">
            <v>9.1199999999999992</v>
          </cell>
          <cell r="E474">
            <v>9.26</v>
          </cell>
          <cell r="F474">
            <v>9.3800000000000008</v>
          </cell>
          <cell r="G474">
            <v>9.43</v>
          </cell>
          <cell r="H474">
            <v>9.89</v>
          </cell>
          <cell r="I474">
            <v>10.130000000000001</v>
          </cell>
          <cell r="J474">
            <v>10.4</v>
          </cell>
          <cell r="K474">
            <v>10.54</v>
          </cell>
          <cell r="L474">
            <v>10.78</v>
          </cell>
          <cell r="M474">
            <v>11.06</v>
          </cell>
          <cell r="N474">
            <v>11.2</v>
          </cell>
          <cell r="O474">
            <v>11.27</v>
          </cell>
          <cell r="P474">
            <v>11.22</v>
          </cell>
          <cell r="Q474">
            <v>11.14</v>
          </cell>
        </row>
        <row r="475">
          <cell r="A475" t="str">
            <v xml:space="preserve"> 6/30/83</v>
          </cell>
          <cell r="C475">
            <v>8.73</v>
          </cell>
          <cell r="D475">
            <v>9.2899999999999991</v>
          </cell>
          <cell r="E475">
            <v>9.4700000000000006</v>
          </cell>
          <cell r="F475">
            <v>9.67</v>
          </cell>
          <cell r="G475">
            <v>9.77</v>
          </cell>
          <cell r="H475">
            <v>10.11</v>
          </cell>
          <cell r="I475">
            <v>10.28</v>
          </cell>
          <cell r="J475">
            <v>10.6</v>
          </cell>
          <cell r="K475">
            <v>10.75</v>
          </cell>
          <cell r="L475">
            <v>10.93</v>
          </cell>
          <cell r="M475">
            <v>11.14</v>
          </cell>
          <cell r="N475">
            <v>11.25</v>
          </cell>
          <cell r="O475">
            <v>11.31</v>
          </cell>
          <cell r="P475">
            <v>11.15</v>
          </cell>
          <cell r="Q475">
            <v>10.93</v>
          </cell>
        </row>
        <row r="476">
          <cell r="A476" t="str">
            <v xml:space="preserve"> 7/29/83</v>
          </cell>
          <cell r="C476">
            <v>9.06</v>
          </cell>
          <cell r="D476">
            <v>9.77</v>
          </cell>
          <cell r="E476">
            <v>10.02</v>
          </cell>
          <cell r="F476">
            <v>10.39</v>
          </cell>
          <cell r="G476">
            <v>10.59</v>
          </cell>
          <cell r="H476">
            <v>10.94</v>
          </cell>
          <cell r="I476">
            <v>11.12</v>
          </cell>
          <cell r="J476">
            <v>11.47</v>
          </cell>
          <cell r="K476">
            <v>11.65</v>
          </cell>
          <cell r="L476">
            <v>11.83</v>
          </cell>
          <cell r="M476">
            <v>12.04</v>
          </cell>
          <cell r="N476">
            <v>12.11</v>
          </cell>
          <cell r="O476">
            <v>12.11</v>
          </cell>
          <cell r="P476">
            <v>11.98</v>
          </cell>
          <cell r="Q476">
            <v>11.81</v>
          </cell>
        </row>
        <row r="477">
          <cell r="A477" t="str">
            <v xml:space="preserve"> 8/31/83</v>
          </cell>
          <cell r="C477">
            <v>8.86</v>
          </cell>
          <cell r="D477">
            <v>9.7100000000000009</v>
          </cell>
          <cell r="E477">
            <v>10.130000000000001</v>
          </cell>
          <cell r="F477">
            <v>10.41</v>
          </cell>
          <cell r="G477">
            <v>10.55</v>
          </cell>
          <cell r="H477">
            <v>10.97</v>
          </cell>
          <cell r="I477">
            <v>11.18</v>
          </cell>
          <cell r="J477">
            <v>11.58</v>
          </cell>
          <cell r="K477">
            <v>11.78</v>
          </cell>
          <cell r="L477">
            <v>11.93</v>
          </cell>
          <cell r="M477">
            <v>12.11</v>
          </cell>
          <cell r="N477">
            <v>12.14</v>
          </cell>
          <cell r="O477">
            <v>12.09</v>
          </cell>
          <cell r="P477">
            <v>11.99</v>
          </cell>
          <cell r="Q477">
            <v>11.87</v>
          </cell>
        </row>
        <row r="478">
          <cell r="A478" t="str">
            <v xml:space="preserve"> 9/30/83</v>
          </cell>
          <cell r="C478">
            <v>9.01</v>
          </cell>
          <cell r="D478">
            <v>9.2799999999999994</v>
          </cell>
          <cell r="E478">
            <v>9.4600000000000009</v>
          </cell>
          <cell r="F478">
            <v>9.73</v>
          </cell>
          <cell r="G478">
            <v>9.86</v>
          </cell>
          <cell r="H478">
            <v>10.31</v>
          </cell>
          <cell r="I478">
            <v>10.53</v>
          </cell>
          <cell r="J478">
            <v>10.94</v>
          </cell>
          <cell r="K478">
            <v>11.14</v>
          </cell>
          <cell r="L478">
            <v>11.36</v>
          </cell>
          <cell r="M478">
            <v>11.61</v>
          </cell>
          <cell r="N478">
            <v>11.69</v>
          </cell>
          <cell r="O478">
            <v>11.69</v>
          </cell>
          <cell r="P478">
            <v>11.48</v>
          </cell>
          <cell r="Q478">
            <v>11.22</v>
          </cell>
        </row>
        <row r="479">
          <cell r="A479" t="str">
            <v>10/31/83</v>
          </cell>
          <cell r="C479">
            <v>8.67</v>
          </cell>
          <cell r="D479">
            <v>8.99</v>
          </cell>
          <cell r="E479">
            <v>9.36</v>
          </cell>
          <cell r="F479">
            <v>9.6199999999999992</v>
          </cell>
          <cell r="G479">
            <v>9.74</v>
          </cell>
          <cell r="H479">
            <v>10.31</v>
          </cell>
          <cell r="I479">
            <v>10.6</v>
          </cell>
          <cell r="J479">
            <v>11.12</v>
          </cell>
          <cell r="K479">
            <v>11.38</v>
          </cell>
          <cell r="L479">
            <v>11.62</v>
          </cell>
          <cell r="M479">
            <v>11.88</v>
          </cell>
          <cell r="N479">
            <v>11.99</v>
          </cell>
          <cell r="O479">
            <v>12.03</v>
          </cell>
          <cell r="P479">
            <v>11.92</v>
          </cell>
          <cell r="Q479">
            <v>11.79</v>
          </cell>
        </row>
        <row r="480">
          <cell r="A480" t="str">
            <v>11/30/83</v>
          </cell>
          <cell r="C480">
            <v>8.68</v>
          </cell>
          <cell r="D480">
            <v>9.32</v>
          </cell>
          <cell r="E480">
            <v>9.58</v>
          </cell>
          <cell r="F480">
            <v>9.7899999999999991</v>
          </cell>
          <cell r="G480">
            <v>9.89</v>
          </cell>
          <cell r="H480">
            <v>10.37</v>
          </cell>
          <cell r="I480">
            <v>10.61</v>
          </cell>
          <cell r="J480">
            <v>11.12</v>
          </cell>
          <cell r="K480">
            <v>11.38</v>
          </cell>
          <cell r="L480">
            <v>11.53</v>
          </cell>
          <cell r="M480">
            <v>11.71</v>
          </cell>
          <cell r="N480">
            <v>11.8</v>
          </cell>
          <cell r="O480">
            <v>11.84</v>
          </cell>
          <cell r="P480">
            <v>11.71</v>
          </cell>
          <cell r="Q480">
            <v>11.53</v>
          </cell>
        </row>
        <row r="481">
          <cell r="A481" t="str">
            <v>12/30/83</v>
          </cell>
          <cell r="C481">
            <v>8.76</v>
          </cell>
          <cell r="D481">
            <v>9.59</v>
          </cell>
          <cell r="E481">
            <v>9.76</v>
          </cell>
          <cell r="F481">
            <v>10.01</v>
          </cell>
          <cell r="G481">
            <v>10.14</v>
          </cell>
          <cell r="H481">
            <v>10.64</v>
          </cell>
          <cell r="I481">
            <v>10.9</v>
          </cell>
          <cell r="J481">
            <v>11.33</v>
          </cell>
          <cell r="K481">
            <v>11.55</v>
          </cell>
          <cell r="L481">
            <v>11.72</v>
          </cell>
          <cell r="M481">
            <v>11.91</v>
          </cell>
          <cell r="N481">
            <v>12</v>
          </cell>
          <cell r="O481">
            <v>12.04</v>
          </cell>
          <cell r="P481">
            <v>11.93</v>
          </cell>
          <cell r="Q481">
            <v>11.78</v>
          </cell>
        </row>
        <row r="482">
          <cell r="A482" t="str">
            <v xml:space="preserve"> 1/31/84</v>
          </cell>
          <cell r="C482">
            <v>9.1199999999999992</v>
          </cell>
          <cell r="D482">
            <v>9.35</v>
          </cell>
          <cell r="E482">
            <v>9.52</v>
          </cell>
          <cell r="F482">
            <v>9.6999999999999993</v>
          </cell>
          <cell r="G482">
            <v>9.7899999999999991</v>
          </cell>
          <cell r="H482">
            <v>10.32</v>
          </cell>
          <cell r="I482">
            <v>10.6</v>
          </cell>
          <cell r="J482">
            <v>11.05</v>
          </cell>
          <cell r="K482">
            <v>11.28</v>
          </cell>
          <cell r="L482">
            <v>11.49</v>
          </cell>
          <cell r="M482">
            <v>11.74</v>
          </cell>
          <cell r="N482">
            <v>11.85</v>
          </cell>
          <cell r="O482">
            <v>11.91</v>
          </cell>
          <cell r="P482">
            <v>11.84</v>
          </cell>
          <cell r="Q482">
            <v>11.76</v>
          </cell>
        </row>
        <row r="483">
          <cell r="A483" t="str">
            <v xml:space="preserve"> 2/29/84</v>
          </cell>
          <cell r="C483">
            <v>8.61</v>
          </cell>
          <cell r="D483">
            <v>9.7200000000000006</v>
          </cell>
          <cell r="E483">
            <v>9.86</v>
          </cell>
          <cell r="F483">
            <v>10.130000000000001</v>
          </cell>
          <cell r="G483">
            <v>10.27</v>
          </cell>
          <cell r="H483">
            <v>10.75</v>
          </cell>
          <cell r="I483">
            <v>11</v>
          </cell>
          <cell r="J483">
            <v>11.5</v>
          </cell>
          <cell r="K483">
            <v>11.75</v>
          </cell>
          <cell r="L483">
            <v>11.96</v>
          </cell>
          <cell r="M483">
            <v>12.2</v>
          </cell>
          <cell r="N483">
            <v>12.26</v>
          </cell>
          <cell r="O483">
            <v>12.23</v>
          </cell>
          <cell r="P483">
            <v>12.3</v>
          </cell>
          <cell r="Q483">
            <v>12.4</v>
          </cell>
        </row>
        <row r="484">
          <cell r="A484" t="str">
            <v xml:space="preserve"> 3/30/84</v>
          </cell>
          <cell r="C484">
            <v>9.68</v>
          </cell>
          <cell r="D484">
            <v>10.3</v>
          </cell>
          <cell r="E484">
            <v>10.53</v>
          </cell>
          <cell r="F484">
            <v>10.82</v>
          </cell>
          <cell r="G484">
            <v>10.97</v>
          </cell>
          <cell r="H484">
            <v>11.33</v>
          </cell>
          <cell r="I484">
            <v>11.52</v>
          </cell>
          <cell r="J484">
            <v>11.97</v>
          </cell>
          <cell r="K484">
            <v>12.2</v>
          </cell>
          <cell r="L484">
            <v>12.39</v>
          </cell>
          <cell r="M484">
            <v>12.62</v>
          </cell>
          <cell r="N484">
            <v>12.63</v>
          </cell>
          <cell r="O484">
            <v>12.55</v>
          </cell>
          <cell r="P484">
            <v>12.55</v>
          </cell>
          <cell r="Q484">
            <v>12.56</v>
          </cell>
        </row>
        <row r="485">
          <cell r="A485" t="str">
            <v xml:space="preserve"> 4/30/84</v>
          </cell>
          <cell r="C485">
            <v>9.5500000000000007</v>
          </cell>
          <cell r="D485">
            <v>10.28</v>
          </cell>
          <cell r="E485">
            <v>10.6</v>
          </cell>
          <cell r="F485">
            <v>10.94</v>
          </cell>
          <cell r="G485">
            <v>11.11</v>
          </cell>
          <cell r="H485">
            <v>11.64</v>
          </cell>
          <cell r="I485">
            <v>11.9</v>
          </cell>
          <cell r="J485">
            <v>12.32</v>
          </cell>
          <cell r="K485">
            <v>12.53</v>
          </cell>
          <cell r="L485">
            <v>12.76</v>
          </cell>
          <cell r="M485">
            <v>13.02</v>
          </cell>
          <cell r="N485">
            <v>13.02</v>
          </cell>
          <cell r="O485">
            <v>12.91</v>
          </cell>
          <cell r="P485">
            <v>12.89</v>
          </cell>
          <cell r="Q485">
            <v>12.89</v>
          </cell>
        </row>
        <row r="486">
          <cell r="A486" t="str">
            <v xml:space="preserve"> 5/31/84</v>
          </cell>
          <cell r="C486">
            <v>9.0299999999999994</v>
          </cell>
          <cell r="D486">
            <v>10.41</v>
          </cell>
          <cell r="E486">
            <v>11.23</v>
          </cell>
          <cell r="F486">
            <v>11.94</v>
          </cell>
          <cell r="G486">
            <v>12.3</v>
          </cell>
          <cell r="H486">
            <v>12.78</v>
          </cell>
          <cell r="I486">
            <v>13.03</v>
          </cell>
          <cell r="J486">
            <v>13.46</v>
          </cell>
          <cell r="K486">
            <v>13.68</v>
          </cell>
          <cell r="L486">
            <v>13.84</v>
          </cell>
          <cell r="M486">
            <v>14.04</v>
          </cell>
          <cell r="N486">
            <v>13.92</v>
          </cell>
          <cell r="O486">
            <v>13.69</v>
          </cell>
          <cell r="P486">
            <v>13.63</v>
          </cell>
          <cell r="Q486">
            <v>13.59</v>
          </cell>
        </row>
        <row r="487">
          <cell r="A487" t="str">
            <v xml:space="preserve"> 6/29/84</v>
          </cell>
          <cell r="C487">
            <v>9.3000000000000007</v>
          </cell>
          <cell r="D487">
            <v>10.41</v>
          </cell>
          <cell r="E487">
            <v>11.28</v>
          </cell>
          <cell r="F487">
            <v>12.06</v>
          </cell>
          <cell r="G487">
            <v>12.47</v>
          </cell>
          <cell r="H487">
            <v>12.97</v>
          </cell>
          <cell r="I487">
            <v>13.23</v>
          </cell>
          <cell r="J487">
            <v>13.6</v>
          </cell>
          <cell r="K487">
            <v>13.79</v>
          </cell>
          <cell r="L487">
            <v>13.9</v>
          </cell>
          <cell r="M487">
            <v>14.04</v>
          </cell>
          <cell r="N487">
            <v>13.97</v>
          </cell>
          <cell r="O487">
            <v>13.83</v>
          </cell>
          <cell r="P487">
            <v>13.65</v>
          </cell>
          <cell r="Q487">
            <v>13.44</v>
          </cell>
        </row>
        <row r="488">
          <cell r="A488" t="str">
            <v xml:space="preserve"> 7/31/84</v>
          </cell>
          <cell r="C488">
            <v>9.9499999999999993</v>
          </cell>
          <cell r="D488">
            <v>10.88</v>
          </cell>
          <cell r="E488">
            <v>11.35</v>
          </cell>
          <cell r="F488">
            <v>11.83</v>
          </cell>
          <cell r="G488">
            <v>12.08</v>
          </cell>
          <cell r="H488">
            <v>12.45</v>
          </cell>
          <cell r="I488">
            <v>12.63</v>
          </cell>
          <cell r="J488">
            <v>12.76</v>
          </cell>
          <cell r="K488">
            <v>12.82</v>
          </cell>
          <cell r="L488">
            <v>12.91</v>
          </cell>
          <cell r="M488">
            <v>13.01</v>
          </cell>
          <cell r="N488">
            <v>13.03</v>
          </cell>
          <cell r="O488">
            <v>13.01</v>
          </cell>
          <cell r="P488">
            <v>12.81</v>
          </cell>
          <cell r="Q488">
            <v>12.55</v>
          </cell>
        </row>
        <row r="489">
          <cell r="A489" t="str">
            <v xml:space="preserve"> 8/31/84</v>
          </cell>
          <cell r="C489">
            <v>10.48</v>
          </cell>
          <cell r="D489">
            <v>11.23</v>
          </cell>
          <cell r="E489">
            <v>11.5</v>
          </cell>
          <cell r="F489">
            <v>11.88</v>
          </cell>
          <cell r="G489">
            <v>12.07</v>
          </cell>
          <cell r="H489">
            <v>12.41</v>
          </cell>
          <cell r="I489">
            <v>12.58</v>
          </cell>
          <cell r="J489">
            <v>12.73</v>
          </cell>
          <cell r="K489">
            <v>12.8</v>
          </cell>
          <cell r="L489">
            <v>12.85</v>
          </cell>
          <cell r="M489">
            <v>12.92</v>
          </cell>
          <cell r="N489">
            <v>12.81</v>
          </cell>
          <cell r="O489">
            <v>12.64</v>
          </cell>
          <cell r="P489">
            <v>12.48</v>
          </cell>
          <cell r="Q489">
            <v>12.29</v>
          </cell>
        </row>
        <row r="490">
          <cell r="A490" t="str">
            <v xml:space="preserve"> 9/28/84</v>
          </cell>
          <cell r="C490">
            <v>10.66</v>
          </cell>
          <cell r="D490">
            <v>10.7</v>
          </cell>
          <cell r="E490">
            <v>11.14</v>
          </cell>
          <cell r="F490">
            <v>11.41</v>
          </cell>
          <cell r="G490">
            <v>11.55</v>
          </cell>
          <cell r="H490">
            <v>11.95</v>
          </cell>
          <cell r="I490">
            <v>12.15</v>
          </cell>
          <cell r="J490">
            <v>12.38</v>
          </cell>
          <cell r="K490">
            <v>12.49</v>
          </cell>
          <cell r="L490">
            <v>12.53</v>
          </cell>
          <cell r="M490">
            <v>12.57</v>
          </cell>
          <cell r="N490">
            <v>12.5</v>
          </cell>
          <cell r="O490">
            <v>12.38</v>
          </cell>
          <cell r="P490">
            <v>12.16</v>
          </cell>
          <cell r="Q490">
            <v>11.91</v>
          </cell>
        </row>
        <row r="491">
          <cell r="A491" t="str">
            <v>10/31/84</v>
          </cell>
          <cell r="C491">
            <v>8.61</v>
          </cell>
          <cell r="D491">
            <v>9.5</v>
          </cell>
          <cell r="E491">
            <v>9.9600000000000009</v>
          </cell>
          <cell r="F491">
            <v>10.27</v>
          </cell>
          <cell r="G491">
            <v>10.42</v>
          </cell>
          <cell r="H491">
            <v>10.96</v>
          </cell>
          <cell r="I491">
            <v>11.22</v>
          </cell>
          <cell r="J491">
            <v>11.46</v>
          </cell>
          <cell r="K491">
            <v>11.57</v>
          </cell>
          <cell r="L491">
            <v>11.69</v>
          </cell>
          <cell r="M491">
            <v>11.82</v>
          </cell>
          <cell r="N491">
            <v>11.85</v>
          </cell>
          <cell r="O491">
            <v>11.84</v>
          </cell>
          <cell r="P491">
            <v>11.6</v>
          </cell>
          <cell r="Q491">
            <v>11.33</v>
          </cell>
        </row>
        <row r="492">
          <cell r="A492" t="str">
            <v>11/30/84</v>
          </cell>
          <cell r="C492">
            <v>7.59</v>
          </cell>
          <cell r="D492">
            <v>8.92</v>
          </cell>
          <cell r="E492">
            <v>9.24</v>
          </cell>
          <cell r="F492">
            <v>9.6199999999999992</v>
          </cell>
          <cell r="G492">
            <v>9.81</v>
          </cell>
          <cell r="H492">
            <v>10.34</v>
          </cell>
          <cell r="I492">
            <v>10.61</v>
          </cell>
          <cell r="J492">
            <v>11.08</v>
          </cell>
          <cell r="K492">
            <v>11.31</v>
          </cell>
          <cell r="L492">
            <v>11.47</v>
          </cell>
          <cell r="M492">
            <v>11.65</v>
          </cell>
          <cell r="N492">
            <v>11.78</v>
          </cell>
          <cell r="O492">
            <v>11.86</v>
          </cell>
          <cell r="P492">
            <v>11.73</v>
          </cell>
          <cell r="Q492">
            <v>11.55</v>
          </cell>
        </row>
        <row r="493">
          <cell r="A493" t="str">
            <v>12/31/84</v>
          </cell>
          <cell r="C493">
            <v>7.89</v>
          </cell>
          <cell r="D493">
            <v>8.2200000000000006</v>
          </cell>
          <cell r="E493">
            <v>8.6</v>
          </cell>
          <cell r="F493">
            <v>9.1199999999999992</v>
          </cell>
          <cell r="G493">
            <v>9.3800000000000008</v>
          </cell>
          <cell r="H493">
            <v>9.9</v>
          </cell>
          <cell r="I493">
            <v>10.16</v>
          </cell>
          <cell r="J493">
            <v>10.79</v>
          </cell>
          <cell r="K493">
            <v>11.1</v>
          </cell>
          <cell r="L493">
            <v>11.39</v>
          </cell>
          <cell r="M493">
            <v>11.73</v>
          </cell>
          <cell r="N493">
            <v>11.85</v>
          </cell>
          <cell r="O493">
            <v>11.88</v>
          </cell>
          <cell r="P493">
            <v>11.7</v>
          </cell>
          <cell r="Q493">
            <v>11.49</v>
          </cell>
        </row>
        <row r="494">
          <cell r="A494" t="str">
            <v xml:space="preserve"> 1/31/85</v>
          </cell>
          <cell r="C494">
            <v>7.68</v>
          </cell>
          <cell r="D494">
            <v>8.5</v>
          </cell>
          <cell r="E494">
            <v>8.7200000000000006</v>
          </cell>
          <cell r="F494">
            <v>9.0299999999999994</v>
          </cell>
          <cell r="G494">
            <v>9.18</v>
          </cell>
          <cell r="H494">
            <v>9.7799999999999994</v>
          </cell>
          <cell r="I494">
            <v>10.08</v>
          </cell>
          <cell r="J494">
            <v>10.6</v>
          </cell>
          <cell r="K494">
            <v>10.86</v>
          </cell>
          <cell r="L494">
            <v>11.05</v>
          </cell>
          <cell r="M494">
            <v>11.28</v>
          </cell>
          <cell r="N494">
            <v>11.47</v>
          </cell>
          <cell r="O494">
            <v>11.64</v>
          </cell>
          <cell r="P494">
            <v>11.47</v>
          </cell>
          <cell r="Q494">
            <v>11.26</v>
          </cell>
        </row>
        <row r="495">
          <cell r="A495" t="str">
            <v xml:space="preserve"> 2/28/85</v>
          </cell>
          <cell r="C495">
            <v>7.63</v>
          </cell>
          <cell r="D495">
            <v>9.02</v>
          </cell>
          <cell r="E495">
            <v>9.4</v>
          </cell>
          <cell r="F495">
            <v>9.76</v>
          </cell>
          <cell r="G495">
            <v>9.9499999999999993</v>
          </cell>
          <cell r="H495">
            <v>10.51</v>
          </cell>
          <cell r="I495">
            <v>10.79</v>
          </cell>
          <cell r="J495">
            <v>11.33</v>
          </cell>
          <cell r="K495">
            <v>11.6</v>
          </cell>
          <cell r="L495">
            <v>11.81</v>
          </cell>
          <cell r="M495">
            <v>12.06</v>
          </cell>
          <cell r="N495">
            <v>12.22</v>
          </cell>
          <cell r="O495">
            <v>12.33</v>
          </cell>
          <cell r="P495">
            <v>12.23</v>
          </cell>
          <cell r="Q495">
            <v>12.09</v>
          </cell>
        </row>
        <row r="496">
          <cell r="A496" t="str">
            <v xml:space="preserve"> 3/29/85</v>
          </cell>
          <cell r="C496">
            <v>8.02</v>
          </cell>
          <cell r="D496">
            <v>8.6999999999999993</v>
          </cell>
          <cell r="E496">
            <v>9.11</v>
          </cell>
          <cell r="F496">
            <v>9.5399999999999991</v>
          </cell>
          <cell r="G496">
            <v>9.76</v>
          </cell>
          <cell r="H496">
            <v>10.25</v>
          </cell>
          <cell r="I496">
            <v>10.49</v>
          </cell>
          <cell r="J496">
            <v>11.05</v>
          </cell>
          <cell r="K496">
            <v>11.33</v>
          </cell>
          <cell r="L496">
            <v>11.56</v>
          </cell>
          <cell r="M496">
            <v>11.82</v>
          </cell>
          <cell r="N496">
            <v>11.98</v>
          </cell>
          <cell r="O496">
            <v>12.09</v>
          </cell>
          <cell r="P496">
            <v>11.97</v>
          </cell>
          <cell r="Q496">
            <v>11.8</v>
          </cell>
        </row>
        <row r="497">
          <cell r="A497" t="str">
            <v xml:space="preserve"> 4/30/85</v>
          </cell>
          <cell r="C497">
            <v>7.52</v>
          </cell>
          <cell r="D497">
            <v>8.26</v>
          </cell>
          <cell r="E497">
            <v>8.5399999999999991</v>
          </cell>
          <cell r="F497">
            <v>8.9700000000000006</v>
          </cell>
          <cell r="G497">
            <v>9.19</v>
          </cell>
          <cell r="H497">
            <v>9.74</v>
          </cell>
          <cell r="I497">
            <v>10.01</v>
          </cell>
          <cell r="J497">
            <v>10.59</v>
          </cell>
          <cell r="K497">
            <v>10.88</v>
          </cell>
          <cell r="L497">
            <v>11.17</v>
          </cell>
          <cell r="M497">
            <v>11.51</v>
          </cell>
          <cell r="N497">
            <v>11.78</v>
          </cell>
          <cell r="O497">
            <v>12</v>
          </cell>
          <cell r="P497">
            <v>11.91</v>
          </cell>
          <cell r="Q497">
            <v>11.75</v>
          </cell>
        </row>
        <row r="498">
          <cell r="A498" t="str">
            <v xml:space="preserve"> 5/31/85</v>
          </cell>
          <cell r="C498">
            <v>6.71</v>
          </cell>
          <cell r="D498">
            <v>7.57</v>
          </cell>
          <cell r="E498">
            <v>7.57</v>
          </cell>
          <cell r="F498">
            <v>7.95</v>
          </cell>
          <cell r="G498">
            <v>8.14</v>
          </cell>
          <cell r="H498">
            <v>8.69</v>
          </cell>
          <cell r="I498">
            <v>8.9600000000000009</v>
          </cell>
          <cell r="J498">
            <v>9.51</v>
          </cell>
          <cell r="K498">
            <v>9.7899999999999991</v>
          </cell>
          <cell r="L498">
            <v>10.02</v>
          </cell>
          <cell r="M498">
            <v>10.29</v>
          </cell>
          <cell r="N498">
            <v>10.68</v>
          </cell>
          <cell r="O498">
            <v>11.08</v>
          </cell>
          <cell r="P498">
            <v>11.01</v>
          </cell>
          <cell r="Q498">
            <v>10.86</v>
          </cell>
        </row>
        <row r="499">
          <cell r="A499" t="str">
            <v xml:space="preserve"> 6/28/85</v>
          </cell>
          <cell r="C499">
            <v>6.73</v>
          </cell>
          <cell r="D499">
            <v>7.27</v>
          </cell>
          <cell r="E499">
            <v>7.41</v>
          </cell>
          <cell r="F499">
            <v>7.7</v>
          </cell>
          <cell r="G499">
            <v>7.84</v>
          </cell>
          <cell r="H499">
            <v>8.41</v>
          </cell>
          <cell r="I499">
            <v>8.6999999999999993</v>
          </cell>
          <cell r="J499">
            <v>9.33</v>
          </cell>
          <cell r="K499">
            <v>9.65</v>
          </cell>
          <cell r="L499">
            <v>9.9499999999999993</v>
          </cell>
          <cell r="M499">
            <v>10.3</v>
          </cell>
          <cell r="N499">
            <v>10.67</v>
          </cell>
          <cell r="O499">
            <v>11.02</v>
          </cell>
          <cell r="P499">
            <v>10.88</v>
          </cell>
          <cell r="Q499">
            <v>10.64</v>
          </cell>
        </row>
        <row r="500">
          <cell r="A500" t="str">
            <v xml:space="preserve"> 7/31/85</v>
          </cell>
          <cell r="C500">
            <v>7.15</v>
          </cell>
          <cell r="D500">
            <v>7.59</v>
          </cell>
          <cell r="E500">
            <v>7.84</v>
          </cell>
          <cell r="F500">
            <v>8.1199999999999992</v>
          </cell>
          <cell r="G500">
            <v>8.26</v>
          </cell>
          <cell r="H500">
            <v>8.81</v>
          </cell>
          <cell r="I500">
            <v>9.08</v>
          </cell>
          <cell r="J500">
            <v>9.73</v>
          </cell>
          <cell r="K500">
            <v>10.06</v>
          </cell>
          <cell r="L500">
            <v>10.32</v>
          </cell>
          <cell r="M500">
            <v>10.62</v>
          </cell>
          <cell r="N500">
            <v>10.96</v>
          </cell>
          <cell r="O500">
            <v>11.29</v>
          </cell>
          <cell r="P500">
            <v>11.19</v>
          </cell>
          <cell r="Q500">
            <v>11.01</v>
          </cell>
        </row>
        <row r="501">
          <cell r="A501" t="str">
            <v xml:space="preserve"> 8/30/85</v>
          </cell>
          <cell r="C501">
            <v>7.1</v>
          </cell>
          <cell r="D501">
            <v>7.46</v>
          </cell>
          <cell r="E501">
            <v>7.72</v>
          </cell>
          <cell r="F501">
            <v>7.97</v>
          </cell>
          <cell r="G501">
            <v>8.09</v>
          </cell>
          <cell r="H501">
            <v>8.64</v>
          </cell>
          <cell r="I501">
            <v>8.92</v>
          </cell>
          <cell r="J501">
            <v>9.56</v>
          </cell>
          <cell r="K501">
            <v>9.8800000000000008</v>
          </cell>
          <cell r="L501">
            <v>10.11</v>
          </cell>
          <cell r="M501">
            <v>10.38</v>
          </cell>
          <cell r="N501">
            <v>10.79</v>
          </cell>
          <cell r="O501">
            <v>11.22</v>
          </cell>
          <cell r="P501">
            <v>10.98</v>
          </cell>
          <cell r="Q501">
            <v>10.58</v>
          </cell>
        </row>
        <row r="502">
          <cell r="A502" t="str">
            <v xml:space="preserve"> 9/30/85</v>
          </cell>
          <cell r="C502">
            <v>7.14</v>
          </cell>
          <cell r="D502">
            <v>7.44</v>
          </cell>
          <cell r="E502">
            <v>7.64</v>
          </cell>
          <cell r="F502">
            <v>7.98</v>
          </cell>
          <cell r="G502">
            <v>8.16</v>
          </cell>
          <cell r="H502">
            <v>8.64</v>
          </cell>
          <cell r="I502">
            <v>8.89</v>
          </cell>
          <cell r="J502">
            <v>9.48</v>
          </cell>
          <cell r="K502">
            <v>9.7799999999999994</v>
          </cell>
          <cell r="L502">
            <v>10.06</v>
          </cell>
          <cell r="M502">
            <v>10.39</v>
          </cell>
          <cell r="N502">
            <v>10.84</v>
          </cell>
          <cell r="O502">
            <v>11.3</v>
          </cell>
          <cell r="P502">
            <v>11.15</v>
          </cell>
          <cell r="Q502">
            <v>10.87</v>
          </cell>
        </row>
        <row r="503">
          <cell r="A503" t="str">
            <v>10/31/85</v>
          </cell>
          <cell r="C503">
            <v>7.29</v>
          </cell>
          <cell r="D503">
            <v>7.63</v>
          </cell>
          <cell r="E503">
            <v>7.67</v>
          </cell>
          <cell r="F503">
            <v>7.94</v>
          </cell>
          <cell r="G503">
            <v>8.07</v>
          </cell>
          <cell r="H503">
            <v>8.48</v>
          </cell>
          <cell r="I503">
            <v>8.68</v>
          </cell>
          <cell r="J503">
            <v>9.24</v>
          </cell>
          <cell r="K503">
            <v>9.52</v>
          </cell>
          <cell r="L503">
            <v>9.7799999999999994</v>
          </cell>
          <cell r="M503">
            <v>10.09</v>
          </cell>
          <cell r="N503">
            <v>10.51</v>
          </cell>
          <cell r="O503">
            <v>10.95</v>
          </cell>
          <cell r="P503">
            <v>10.82</v>
          </cell>
          <cell r="Q503">
            <v>10.57</v>
          </cell>
        </row>
        <row r="504">
          <cell r="A504" t="str">
            <v>11/29/85</v>
          </cell>
          <cell r="C504">
            <v>6.77</v>
          </cell>
          <cell r="D504">
            <v>7.45</v>
          </cell>
          <cell r="E504">
            <v>7.68</v>
          </cell>
          <cell r="F504">
            <v>7.81</v>
          </cell>
          <cell r="G504">
            <v>7.87</v>
          </cell>
          <cell r="H504">
            <v>8.36</v>
          </cell>
          <cell r="I504">
            <v>8.61</v>
          </cell>
          <cell r="J504">
            <v>8.94</v>
          </cell>
          <cell r="K504">
            <v>9.1</v>
          </cell>
          <cell r="L504">
            <v>9.3699999999999992</v>
          </cell>
          <cell r="M504">
            <v>9.67</v>
          </cell>
          <cell r="N504">
            <v>10.050000000000001</v>
          </cell>
          <cell r="O504">
            <v>10.43</v>
          </cell>
          <cell r="P504">
            <v>10.3</v>
          </cell>
          <cell r="Q504">
            <v>10.06</v>
          </cell>
        </row>
        <row r="505">
          <cell r="A505" t="str">
            <v>12/31/85</v>
          </cell>
          <cell r="C505">
            <v>6.08</v>
          </cell>
          <cell r="D505">
            <v>7.35</v>
          </cell>
          <cell r="E505">
            <v>7.52</v>
          </cell>
          <cell r="F505">
            <v>7.67</v>
          </cell>
          <cell r="G505">
            <v>7.74</v>
          </cell>
          <cell r="H505">
            <v>7.93</v>
          </cell>
          <cell r="I505">
            <v>8.02</v>
          </cell>
          <cell r="J505">
            <v>8.43</v>
          </cell>
          <cell r="K505">
            <v>8.64</v>
          </cell>
          <cell r="L505">
            <v>8.7899999999999991</v>
          </cell>
          <cell r="M505">
            <v>8.9499999999999993</v>
          </cell>
          <cell r="N505">
            <v>9.4</v>
          </cell>
          <cell r="O505">
            <v>9.94</v>
          </cell>
          <cell r="P505">
            <v>9.7799999999999994</v>
          </cell>
          <cell r="Q505">
            <v>9.48</v>
          </cell>
        </row>
        <row r="506">
          <cell r="A506" t="str">
            <v xml:space="preserve"> 1/31/86</v>
          </cell>
          <cell r="C506">
            <v>6.81</v>
          </cell>
          <cell r="D506">
            <v>7.39</v>
          </cell>
          <cell r="E506">
            <v>7.45</v>
          </cell>
          <cell r="F506">
            <v>7.63</v>
          </cell>
          <cell r="G506">
            <v>7.72</v>
          </cell>
          <cell r="H506">
            <v>7.91</v>
          </cell>
          <cell r="I506">
            <v>8</v>
          </cell>
          <cell r="J506">
            <v>8.4</v>
          </cell>
          <cell r="K506">
            <v>8.6</v>
          </cell>
          <cell r="L506">
            <v>8.83</v>
          </cell>
          <cell r="M506">
            <v>9.08</v>
          </cell>
          <cell r="N506">
            <v>9.52</v>
          </cell>
          <cell r="O506">
            <v>10.01</v>
          </cell>
          <cell r="P506">
            <v>9.83</v>
          </cell>
          <cell r="Q506">
            <v>9.5299999999999994</v>
          </cell>
        </row>
        <row r="507">
          <cell r="A507" t="str">
            <v xml:space="preserve"> 2/28/86</v>
          </cell>
          <cell r="C507">
            <v>6.87</v>
          </cell>
          <cell r="D507">
            <v>7.49</v>
          </cell>
          <cell r="E507">
            <v>7.47</v>
          </cell>
          <cell r="F507">
            <v>7.51</v>
          </cell>
          <cell r="G507">
            <v>7.53</v>
          </cell>
          <cell r="H507">
            <v>7.7</v>
          </cell>
          <cell r="I507">
            <v>7.78</v>
          </cell>
          <cell r="J507">
            <v>7.98</v>
          </cell>
          <cell r="K507">
            <v>8.09</v>
          </cell>
          <cell r="L507">
            <v>8.1300000000000008</v>
          </cell>
          <cell r="M507">
            <v>8.17</v>
          </cell>
          <cell r="N507">
            <v>8.42</v>
          </cell>
          <cell r="O507">
            <v>8.7200000000000006</v>
          </cell>
          <cell r="P507">
            <v>8.65</v>
          </cell>
          <cell r="Q507">
            <v>8.51</v>
          </cell>
        </row>
        <row r="508">
          <cell r="A508" t="str">
            <v xml:space="preserve"> 3/31/86</v>
          </cell>
          <cell r="C508">
            <v>6.52</v>
          </cell>
          <cell r="D508">
            <v>6.67</v>
          </cell>
          <cell r="E508">
            <v>6.72</v>
          </cell>
          <cell r="F508">
            <v>6.85</v>
          </cell>
          <cell r="G508">
            <v>6.91</v>
          </cell>
          <cell r="H508">
            <v>6.97</v>
          </cell>
          <cell r="I508">
            <v>6.99</v>
          </cell>
          <cell r="J508">
            <v>7.27</v>
          </cell>
          <cell r="K508">
            <v>7.42</v>
          </cell>
          <cell r="L508">
            <v>7.43</v>
          </cell>
          <cell r="M508">
            <v>7.44</v>
          </cell>
          <cell r="N508">
            <v>7.56</v>
          </cell>
          <cell r="O508">
            <v>7.72</v>
          </cell>
          <cell r="P508">
            <v>7.75</v>
          </cell>
          <cell r="Q508">
            <v>7.76</v>
          </cell>
        </row>
        <row r="509">
          <cell r="A509" t="str">
            <v xml:space="preserve"> 4/30/86</v>
          </cell>
          <cell r="C509">
            <v>5.55</v>
          </cell>
          <cell r="D509">
            <v>6.42</v>
          </cell>
          <cell r="E509">
            <v>6.44</v>
          </cell>
          <cell r="F509">
            <v>6.58</v>
          </cell>
          <cell r="G509">
            <v>6.65</v>
          </cell>
          <cell r="H509">
            <v>6.87</v>
          </cell>
          <cell r="I509">
            <v>6.99</v>
          </cell>
          <cell r="J509">
            <v>7.25</v>
          </cell>
          <cell r="K509">
            <v>7.38</v>
          </cell>
          <cell r="L509">
            <v>7.43</v>
          </cell>
          <cell r="M509">
            <v>7.49</v>
          </cell>
          <cell r="N509">
            <v>7.7</v>
          </cell>
          <cell r="O509">
            <v>7.96</v>
          </cell>
          <cell r="P509">
            <v>7.91</v>
          </cell>
          <cell r="Q509">
            <v>7.8</v>
          </cell>
        </row>
        <row r="510">
          <cell r="A510" t="str">
            <v xml:space="preserve"> 5/30/86</v>
          </cell>
          <cell r="C510">
            <v>6.15</v>
          </cell>
          <cell r="D510">
            <v>6.71</v>
          </cell>
          <cell r="E510">
            <v>6.68</v>
          </cell>
          <cell r="F510">
            <v>6.91</v>
          </cell>
          <cell r="G510">
            <v>7.03</v>
          </cell>
          <cell r="H510">
            <v>7.35</v>
          </cell>
          <cell r="I510">
            <v>7.51</v>
          </cell>
          <cell r="J510">
            <v>7.96</v>
          </cell>
          <cell r="K510">
            <v>8.18</v>
          </cell>
          <cell r="L510">
            <v>8.23</v>
          </cell>
          <cell r="M510">
            <v>8.2899999999999991</v>
          </cell>
          <cell r="N510">
            <v>8.56</v>
          </cell>
          <cell r="O510">
            <v>8.9</v>
          </cell>
          <cell r="P510">
            <v>8.5500000000000007</v>
          </cell>
          <cell r="Q510">
            <v>8.0399999999999991</v>
          </cell>
        </row>
        <row r="511">
          <cell r="A511" t="str">
            <v xml:space="preserve"> 6/30/86</v>
          </cell>
          <cell r="C511">
            <v>5.99</v>
          </cell>
          <cell r="D511">
            <v>6.35</v>
          </cell>
          <cell r="E511">
            <v>6.34</v>
          </cell>
          <cell r="F511">
            <v>6.49</v>
          </cell>
          <cell r="G511">
            <v>6.57</v>
          </cell>
          <cell r="H511">
            <v>6.84</v>
          </cell>
          <cell r="I511">
            <v>6.97</v>
          </cell>
          <cell r="J511">
            <v>7.38</v>
          </cell>
          <cell r="K511">
            <v>7.58</v>
          </cell>
          <cell r="L511">
            <v>7.59</v>
          </cell>
          <cell r="M511">
            <v>7.61</v>
          </cell>
          <cell r="N511">
            <v>7.86</v>
          </cell>
          <cell r="O511">
            <v>8.18</v>
          </cell>
          <cell r="P511">
            <v>7.99</v>
          </cell>
          <cell r="Q511">
            <v>7.68</v>
          </cell>
        </row>
        <row r="512">
          <cell r="A512" t="str">
            <v xml:space="preserve"> 7/31/86</v>
          </cell>
          <cell r="C512">
            <v>5.38</v>
          </cell>
          <cell r="D512">
            <v>6.08</v>
          </cell>
          <cell r="E512">
            <v>6.09</v>
          </cell>
          <cell r="F512">
            <v>6.21</v>
          </cell>
          <cell r="G512">
            <v>6.27</v>
          </cell>
          <cell r="H512">
            <v>6.54</v>
          </cell>
          <cell r="I512">
            <v>6.68</v>
          </cell>
          <cell r="J512">
            <v>7.05</v>
          </cell>
          <cell r="K512">
            <v>7.23</v>
          </cell>
          <cell r="L512">
            <v>7.38</v>
          </cell>
          <cell r="M512">
            <v>7.55</v>
          </cell>
          <cell r="N512">
            <v>7.94</v>
          </cell>
          <cell r="O512">
            <v>8.39</v>
          </cell>
          <cell r="P512">
            <v>8.2100000000000009</v>
          </cell>
          <cell r="Q512">
            <v>7.9</v>
          </cell>
        </row>
        <row r="513">
          <cell r="A513" t="str">
            <v xml:space="preserve"> 8/29/86</v>
          </cell>
          <cell r="C513">
            <v>4.79</v>
          </cell>
          <cell r="D513">
            <v>5.48</v>
          </cell>
          <cell r="E513">
            <v>5.43</v>
          </cell>
          <cell r="F513">
            <v>5.55</v>
          </cell>
          <cell r="G513">
            <v>5.61</v>
          </cell>
          <cell r="H513">
            <v>5.89</v>
          </cell>
          <cell r="I513">
            <v>6.03</v>
          </cell>
          <cell r="J513">
            <v>6.42</v>
          </cell>
          <cell r="K513">
            <v>6.62</v>
          </cell>
          <cell r="L513">
            <v>6.83</v>
          </cell>
          <cell r="M513">
            <v>7.06</v>
          </cell>
          <cell r="N513">
            <v>7.51</v>
          </cell>
          <cell r="O513">
            <v>8</v>
          </cell>
          <cell r="P513">
            <v>7.89</v>
          </cell>
          <cell r="Q513">
            <v>7.66</v>
          </cell>
        </row>
        <row r="514">
          <cell r="A514" t="str">
            <v xml:space="preserve"> 9/30/86</v>
          </cell>
          <cell r="C514">
            <v>5.22</v>
          </cell>
          <cell r="D514">
            <v>5.4</v>
          </cell>
          <cell r="E514">
            <v>5.58</v>
          </cell>
          <cell r="F514">
            <v>5.78</v>
          </cell>
          <cell r="G514">
            <v>5.88</v>
          </cell>
          <cell r="H514">
            <v>6.25</v>
          </cell>
          <cell r="I514">
            <v>6.44</v>
          </cell>
          <cell r="J514">
            <v>6.93</v>
          </cell>
          <cell r="K514">
            <v>7.18</v>
          </cell>
          <cell r="L514">
            <v>7.38</v>
          </cell>
          <cell r="M514">
            <v>7.6</v>
          </cell>
          <cell r="N514">
            <v>8.07</v>
          </cell>
          <cell r="O514">
            <v>8.6</v>
          </cell>
          <cell r="P514">
            <v>8.34</v>
          </cell>
          <cell r="Q514">
            <v>7.91</v>
          </cell>
        </row>
        <row r="515">
          <cell r="A515" t="str">
            <v>10/31/86</v>
          </cell>
          <cell r="C515">
            <v>5.23</v>
          </cell>
          <cell r="D515">
            <v>5.53</v>
          </cell>
          <cell r="E515">
            <v>5.55</v>
          </cell>
          <cell r="F515">
            <v>5.75</v>
          </cell>
          <cell r="G515">
            <v>5.85</v>
          </cell>
          <cell r="H515">
            <v>6.14</v>
          </cell>
          <cell r="I515">
            <v>6.29</v>
          </cell>
          <cell r="J515">
            <v>6.67</v>
          </cell>
          <cell r="K515">
            <v>6.86</v>
          </cell>
          <cell r="L515">
            <v>7.11</v>
          </cell>
          <cell r="M515">
            <v>7.4</v>
          </cell>
          <cell r="N515">
            <v>7.89</v>
          </cell>
          <cell r="O515">
            <v>8.42</v>
          </cell>
          <cell r="P515">
            <v>8.25</v>
          </cell>
          <cell r="Q515">
            <v>7.94</v>
          </cell>
        </row>
        <row r="516">
          <cell r="A516" t="str">
            <v>11/28/86</v>
          </cell>
          <cell r="C516">
            <v>5.27</v>
          </cell>
          <cell r="D516">
            <v>5.78</v>
          </cell>
          <cell r="E516">
            <v>5.71</v>
          </cell>
          <cell r="F516">
            <v>5.8</v>
          </cell>
          <cell r="G516">
            <v>5.85</v>
          </cell>
          <cell r="H516">
            <v>6.1</v>
          </cell>
          <cell r="I516">
            <v>6.22</v>
          </cell>
          <cell r="J516">
            <v>6.54</v>
          </cell>
          <cell r="K516">
            <v>6.71</v>
          </cell>
          <cell r="L516">
            <v>6.94</v>
          </cell>
          <cell r="M516">
            <v>7.2</v>
          </cell>
          <cell r="N516">
            <v>7.69</v>
          </cell>
          <cell r="O516">
            <v>8.23</v>
          </cell>
          <cell r="P516">
            <v>8.1</v>
          </cell>
          <cell r="Q516">
            <v>7.85</v>
          </cell>
        </row>
        <row r="517">
          <cell r="A517" t="str">
            <v>12/31/86</v>
          </cell>
          <cell r="C517">
            <v>4.92</v>
          </cell>
          <cell r="D517">
            <v>5.91</v>
          </cell>
          <cell r="E517">
            <v>5.96</v>
          </cell>
          <cell r="F517">
            <v>6.1</v>
          </cell>
          <cell r="G517">
            <v>6.17</v>
          </cell>
          <cell r="H517">
            <v>6.37</v>
          </cell>
          <cell r="I517">
            <v>6.48</v>
          </cell>
          <cell r="J517">
            <v>6.72</v>
          </cell>
          <cell r="K517">
            <v>6.84</v>
          </cell>
          <cell r="L517">
            <v>7.04</v>
          </cell>
          <cell r="M517">
            <v>7.27</v>
          </cell>
          <cell r="N517">
            <v>7.76</v>
          </cell>
          <cell r="O517">
            <v>8.31</v>
          </cell>
          <cell r="P517">
            <v>8.1999999999999993</v>
          </cell>
          <cell r="Q517">
            <v>7.96</v>
          </cell>
        </row>
        <row r="518">
          <cell r="A518" t="str">
            <v xml:space="preserve"> 1/30/87</v>
          </cell>
          <cell r="C518">
            <v>5.59</v>
          </cell>
          <cell r="D518">
            <v>5.92</v>
          </cell>
          <cell r="E518">
            <v>5.87</v>
          </cell>
          <cell r="F518">
            <v>5.98</v>
          </cell>
          <cell r="G518">
            <v>6.03</v>
          </cell>
          <cell r="H518">
            <v>6.24</v>
          </cell>
          <cell r="I518">
            <v>6.35</v>
          </cell>
          <cell r="J518">
            <v>6.6</v>
          </cell>
          <cell r="K518">
            <v>6.72</v>
          </cell>
          <cell r="L518">
            <v>6.93</v>
          </cell>
          <cell r="M518">
            <v>7.17</v>
          </cell>
          <cell r="N518">
            <v>7.63</v>
          </cell>
          <cell r="O518">
            <v>8.15</v>
          </cell>
          <cell r="P518">
            <v>8.23</v>
          </cell>
          <cell r="Q518">
            <v>8.24</v>
          </cell>
        </row>
        <row r="519">
          <cell r="A519" t="str">
            <v xml:space="preserve"> 2/27/87</v>
          </cell>
          <cell r="C519">
            <v>5.43</v>
          </cell>
          <cell r="D519">
            <v>5.78</v>
          </cell>
          <cell r="E519">
            <v>5.83</v>
          </cell>
          <cell r="F519">
            <v>6.04</v>
          </cell>
          <cell r="G519">
            <v>6.15</v>
          </cell>
          <cell r="H519">
            <v>6.3</v>
          </cell>
          <cell r="I519">
            <v>6.37</v>
          </cell>
          <cell r="J519">
            <v>6.61</v>
          </cell>
          <cell r="K519">
            <v>6.73</v>
          </cell>
          <cell r="L519">
            <v>6.93</v>
          </cell>
          <cell r="M519">
            <v>7.15</v>
          </cell>
          <cell r="N519">
            <v>7.55</v>
          </cell>
          <cell r="O519">
            <v>8</v>
          </cell>
          <cell r="P519">
            <v>8.11</v>
          </cell>
          <cell r="Q519">
            <v>8.18</v>
          </cell>
        </row>
        <row r="520">
          <cell r="A520" t="str">
            <v xml:space="preserve"> 3/31/87</v>
          </cell>
          <cell r="C520">
            <v>5.3</v>
          </cell>
          <cell r="D520">
            <v>5.85</v>
          </cell>
          <cell r="E520">
            <v>6.04</v>
          </cell>
          <cell r="F520">
            <v>6.26</v>
          </cell>
          <cell r="G520">
            <v>6.37</v>
          </cell>
          <cell r="H520">
            <v>6.55</v>
          </cell>
          <cell r="I520">
            <v>6.64</v>
          </cell>
          <cell r="J520">
            <v>6.87</v>
          </cell>
          <cell r="K520">
            <v>6.98</v>
          </cell>
          <cell r="L520">
            <v>7.21</v>
          </cell>
          <cell r="M520">
            <v>7.47</v>
          </cell>
          <cell r="N520">
            <v>7.85</v>
          </cell>
          <cell r="O520">
            <v>8.25</v>
          </cell>
          <cell r="P520">
            <v>8.3699999999999992</v>
          </cell>
          <cell r="Q520">
            <v>8.4600000000000009</v>
          </cell>
        </row>
        <row r="521">
          <cell r="A521" t="str">
            <v xml:space="preserve"> 4/30/87</v>
          </cell>
          <cell r="C521">
            <v>3.51</v>
          </cell>
          <cell r="D521">
            <v>5.74</v>
          </cell>
          <cell r="E521">
            <v>6.34</v>
          </cell>
          <cell r="F521">
            <v>6.8</v>
          </cell>
          <cell r="G521">
            <v>7.03</v>
          </cell>
          <cell r="H521">
            <v>7.32</v>
          </cell>
          <cell r="I521">
            <v>7.46</v>
          </cell>
          <cell r="J521">
            <v>7.74</v>
          </cell>
          <cell r="K521">
            <v>7.88</v>
          </cell>
          <cell r="L521">
            <v>8.0399999999999991</v>
          </cell>
          <cell r="M521">
            <v>8.2200000000000006</v>
          </cell>
          <cell r="N521">
            <v>8.52</v>
          </cell>
          <cell r="O521">
            <v>8.84</v>
          </cell>
          <cell r="P521">
            <v>8.9</v>
          </cell>
          <cell r="Q521">
            <v>8.91</v>
          </cell>
        </row>
        <row r="522">
          <cell r="A522" t="str">
            <v xml:space="preserve"> 5/29/87</v>
          </cell>
          <cell r="C522">
            <v>5.29</v>
          </cell>
          <cell r="D522">
            <v>6.04</v>
          </cell>
          <cell r="E522">
            <v>6.59</v>
          </cell>
          <cell r="F522">
            <v>7.05</v>
          </cell>
          <cell r="G522">
            <v>7.29</v>
          </cell>
          <cell r="H522">
            <v>7.63</v>
          </cell>
          <cell r="I522">
            <v>7.8</v>
          </cell>
          <cell r="J522">
            <v>8.0399999999999991</v>
          </cell>
          <cell r="K522">
            <v>8.16</v>
          </cell>
          <cell r="L522">
            <v>8.31</v>
          </cell>
          <cell r="M522">
            <v>8.48</v>
          </cell>
          <cell r="N522">
            <v>8.75</v>
          </cell>
          <cell r="O522">
            <v>9.0500000000000007</v>
          </cell>
          <cell r="P522">
            <v>9.0299999999999994</v>
          </cell>
          <cell r="Q522">
            <v>8.9600000000000009</v>
          </cell>
        </row>
        <row r="523">
          <cell r="A523" t="str">
            <v xml:space="preserve"> 6/30/87</v>
          </cell>
          <cell r="C523">
            <v>5.07</v>
          </cell>
          <cell r="D523">
            <v>6.07</v>
          </cell>
          <cell r="E523">
            <v>6.47</v>
          </cell>
          <cell r="F523">
            <v>6.83</v>
          </cell>
          <cell r="G523">
            <v>7.01</v>
          </cell>
          <cell r="H523">
            <v>7.34</v>
          </cell>
          <cell r="I523">
            <v>7.5</v>
          </cell>
          <cell r="J523">
            <v>7.84</v>
          </cell>
          <cell r="K523">
            <v>8.01</v>
          </cell>
          <cell r="L523">
            <v>8.19</v>
          </cell>
          <cell r="M523">
            <v>8.4</v>
          </cell>
          <cell r="N523">
            <v>8.7100000000000009</v>
          </cell>
          <cell r="O523">
            <v>9.0500000000000007</v>
          </cell>
          <cell r="P523">
            <v>9.02</v>
          </cell>
          <cell r="Q523">
            <v>8.92</v>
          </cell>
        </row>
        <row r="524">
          <cell r="A524" t="str">
            <v xml:space="preserve"> 7/31/87</v>
          </cell>
          <cell r="C524">
            <v>5.37</v>
          </cell>
          <cell r="D524">
            <v>6.49</v>
          </cell>
          <cell r="E524">
            <v>6.56</v>
          </cell>
          <cell r="F524">
            <v>6.89</v>
          </cell>
          <cell r="G524">
            <v>7.05</v>
          </cell>
          <cell r="H524">
            <v>7.43</v>
          </cell>
          <cell r="I524">
            <v>7.61</v>
          </cell>
          <cell r="J524">
            <v>7.99</v>
          </cell>
          <cell r="K524">
            <v>8.18</v>
          </cell>
          <cell r="L524">
            <v>8.4</v>
          </cell>
          <cell r="M524">
            <v>8.64</v>
          </cell>
          <cell r="N524">
            <v>9.01</v>
          </cell>
          <cell r="O524">
            <v>9.4</v>
          </cell>
          <cell r="P524">
            <v>9.3800000000000008</v>
          </cell>
          <cell r="Q524">
            <v>9.2799999999999994</v>
          </cell>
        </row>
        <row r="525">
          <cell r="A525" t="str">
            <v xml:space="preserve"> 8/31/87</v>
          </cell>
          <cell r="C525">
            <v>5.75</v>
          </cell>
          <cell r="D525">
            <v>6.68</v>
          </cell>
          <cell r="E525">
            <v>6.81</v>
          </cell>
          <cell r="F525">
            <v>7.2</v>
          </cell>
          <cell r="G525">
            <v>7.4</v>
          </cell>
          <cell r="H525">
            <v>7.79</v>
          </cell>
          <cell r="I525">
            <v>7.99</v>
          </cell>
          <cell r="J525">
            <v>8.3000000000000007</v>
          </cell>
          <cell r="K525">
            <v>8.4600000000000009</v>
          </cell>
          <cell r="L525">
            <v>8.69</v>
          </cell>
          <cell r="M525">
            <v>8.9600000000000009</v>
          </cell>
          <cell r="N525">
            <v>9.2899999999999991</v>
          </cell>
          <cell r="O525">
            <v>9.61</v>
          </cell>
          <cell r="P525">
            <v>9.61</v>
          </cell>
          <cell r="Q525">
            <v>9.5500000000000007</v>
          </cell>
        </row>
        <row r="526">
          <cell r="A526" t="str">
            <v xml:space="preserve"> 9/30/87</v>
          </cell>
          <cell r="C526">
            <v>6.58</v>
          </cell>
          <cell r="D526">
            <v>6.88</v>
          </cell>
          <cell r="E526">
            <v>7.49</v>
          </cell>
          <cell r="F526">
            <v>7.88</v>
          </cell>
          <cell r="G526">
            <v>8.07</v>
          </cell>
          <cell r="H526">
            <v>8.4700000000000006</v>
          </cell>
          <cell r="I526">
            <v>8.67</v>
          </cell>
          <cell r="J526">
            <v>9.02</v>
          </cell>
          <cell r="K526">
            <v>9.19</v>
          </cell>
          <cell r="L526">
            <v>9.39</v>
          </cell>
          <cell r="M526">
            <v>9.6199999999999992</v>
          </cell>
          <cell r="N526">
            <v>9.89</v>
          </cell>
          <cell r="O526">
            <v>10.16</v>
          </cell>
          <cell r="P526">
            <v>10.14</v>
          </cell>
          <cell r="Q526">
            <v>10.08</v>
          </cell>
        </row>
        <row r="527">
          <cell r="A527" t="str">
            <v>10/30/87</v>
          </cell>
          <cell r="C527">
            <v>4.41</v>
          </cell>
          <cell r="D527">
            <v>5.78</v>
          </cell>
          <cell r="E527">
            <v>6.56</v>
          </cell>
          <cell r="F527">
            <v>6.98</v>
          </cell>
          <cell r="G527">
            <v>7.19</v>
          </cell>
          <cell r="H527">
            <v>7.59</v>
          </cell>
          <cell r="I527">
            <v>7.79</v>
          </cell>
          <cell r="J527">
            <v>8.2100000000000009</v>
          </cell>
          <cell r="K527">
            <v>8.42</v>
          </cell>
          <cell r="L527">
            <v>8.67</v>
          </cell>
          <cell r="M527">
            <v>8.9600000000000009</v>
          </cell>
          <cell r="N527">
            <v>9.2100000000000009</v>
          </cell>
          <cell r="O527">
            <v>9.42</v>
          </cell>
          <cell r="P527">
            <v>9.42</v>
          </cell>
          <cell r="Q527">
            <v>9.39</v>
          </cell>
        </row>
        <row r="528">
          <cell r="A528" t="str">
            <v>11/30/87</v>
          </cell>
          <cell r="C528">
            <v>3.84</v>
          </cell>
          <cell r="D528">
            <v>5.85</v>
          </cell>
          <cell r="E528">
            <v>6.63</v>
          </cell>
          <cell r="F528">
            <v>7.05</v>
          </cell>
          <cell r="G528">
            <v>7.25</v>
          </cell>
          <cell r="H528">
            <v>7.62</v>
          </cell>
          <cell r="I528">
            <v>7.8</v>
          </cell>
          <cell r="J528">
            <v>8.2200000000000006</v>
          </cell>
          <cell r="K528">
            <v>8.43</v>
          </cell>
          <cell r="L528">
            <v>8.7100000000000009</v>
          </cell>
          <cell r="M528">
            <v>9.02</v>
          </cell>
          <cell r="N528">
            <v>9.3000000000000007</v>
          </cell>
          <cell r="O528">
            <v>9.5500000000000007</v>
          </cell>
          <cell r="P528">
            <v>9.49</v>
          </cell>
          <cell r="Q528">
            <v>9.3800000000000008</v>
          </cell>
        </row>
        <row r="529">
          <cell r="A529" t="str">
            <v>12/31/87</v>
          </cell>
          <cell r="C529">
            <v>3.74</v>
          </cell>
          <cell r="D529">
            <v>6</v>
          </cell>
          <cell r="E529">
            <v>6.66</v>
          </cell>
          <cell r="F529">
            <v>7.17</v>
          </cell>
          <cell r="G529">
            <v>7.43</v>
          </cell>
          <cell r="H529">
            <v>7.72</v>
          </cell>
          <cell r="I529">
            <v>7.86</v>
          </cell>
          <cell r="J529">
            <v>8.19</v>
          </cell>
          <cell r="K529">
            <v>8.35</v>
          </cell>
          <cell r="L529">
            <v>8.6</v>
          </cell>
          <cell r="M529">
            <v>8.8800000000000008</v>
          </cell>
          <cell r="N529">
            <v>9.16</v>
          </cell>
          <cell r="O529">
            <v>9.42</v>
          </cell>
          <cell r="P529">
            <v>9.3800000000000008</v>
          </cell>
          <cell r="Q529">
            <v>9.2799999999999994</v>
          </cell>
        </row>
        <row r="530">
          <cell r="A530" t="str">
            <v xml:space="preserve"> 1/29/88</v>
          </cell>
          <cell r="C530">
            <v>4.5599999999999996</v>
          </cell>
          <cell r="D530">
            <v>6.2</v>
          </cell>
          <cell r="E530">
            <v>6.48</v>
          </cell>
          <cell r="F530">
            <v>6.75</v>
          </cell>
          <cell r="G530">
            <v>6.89</v>
          </cell>
          <cell r="H530">
            <v>7.14</v>
          </cell>
          <cell r="I530">
            <v>7.26</v>
          </cell>
          <cell r="J530">
            <v>7.54</v>
          </cell>
          <cell r="K530">
            <v>7.68</v>
          </cell>
          <cell r="L530">
            <v>7.93</v>
          </cell>
          <cell r="M530">
            <v>8.2200000000000006</v>
          </cell>
          <cell r="N530">
            <v>8.52</v>
          </cell>
          <cell r="O530">
            <v>8.81</v>
          </cell>
          <cell r="P530">
            <v>8.69</v>
          </cell>
          <cell r="Q530">
            <v>8.48</v>
          </cell>
        </row>
        <row r="531">
          <cell r="A531" t="str">
            <v xml:space="preserve"> 2/29/88</v>
          </cell>
          <cell r="C531">
            <v>5.3</v>
          </cell>
          <cell r="D531">
            <v>6.01</v>
          </cell>
          <cell r="E531">
            <v>6.3</v>
          </cell>
          <cell r="F531">
            <v>6.61</v>
          </cell>
          <cell r="G531">
            <v>6.77</v>
          </cell>
          <cell r="H531">
            <v>7.04</v>
          </cell>
          <cell r="I531">
            <v>7.17</v>
          </cell>
          <cell r="J531">
            <v>7.41</v>
          </cell>
          <cell r="K531">
            <v>7.52</v>
          </cell>
          <cell r="L531">
            <v>7.79</v>
          </cell>
          <cell r="M531">
            <v>8.1</v>
          </cell>
          <cell r="N531">
            <v>8.4600000000000009</v>
          </cell>
          <cell r="O531">
            <v>8.81</v>
          </cell>
          <cell r="P531">
            <v>8.67</v>
          </cell>
          <cell r="Q531">
            <v>8.43</v>
          </cell>
        </row>
        <row r="532">
          <cell r="A532" t="str">
            <v xml:space="preserve"> 3/31/88</v>
          </cell>
          <cell r="C532">
            <v>5.47</v>
          </cell>
          <cell r="D532">
            <v>6.11</v>
          </cell>
          <cell r="E532">
            <v>6.47</v>
          </cell>
          <cell r="F532">
            <v>6.83</v>
          </cell>
          <cell r="G532">
            <v>7.01</v>
          </cell>
          <cell r="H532">
            <v>7.28</v>
          </cell>
          <cell r="I532">
            <v>7.42</v>
          </cell>
          <cell r="J532">
            <v>7.77</v>
          </cell>
          <cell r="K532">
            <v>7.94</v>
          </cell>
          <cell r="L532">
            <v>8.2100000000000009</v>
          </cell>
          <cell r="M532">
            <v>8.5299999999999994</v>
          </cell>
          <cell r="N532">
            <v>8.91</v>
          </cell>
          <cell r="O532">
            <v>9.2799999999999994</v>
          </cell>
          <cell r="P532">
            <v>9.14</v>
          </cell>
          <cell r="Q532">
            <v>8.89</v>
          </cell>
        </row>
        <row r="533">
          <cell r="A533" t="str">
            <v xml:space="preserve"> 4/29/88</v>
          </cell>
          <cell r="C533">
            <v>5.71</v>
          </cell>
          <cell r="D533">
            <v>6.42</v>
          </cell>
          <cell r="E533">
            <v>6.72</v>
          </cell>
          <cell r="F533">
            <v>7.09</v>
          </cell>
          <cell r="G533">
            <v>7.29</v>
          </cell>
          <cell r="H533">
            <v>7.6</v>
          </cell>
          <cell r="I533">
            <v>7.76</v>
          </cell>
          <cell r="J533">
            <v>8.08</v>
          </cell>
          <cell r="K533">
            <v>8.24</v>
          </cell>
          <cell r="L533">
            <v>8.5</v>
          </cell>
          <cell r="M533">
            <v>8.7899999999999991</v>
          </cell>
          <cell r="N533">
            <v>9.18</v>
          </cell>
          <cell r="O533">
            <v>9.58</v>
          </cell>
          <cell r="P533">
            <v>9.4499999999999993</v>
          </cell>
          <cell r="Q533">
            <v>9.23</v>
          </cell>
        </row>
        <row r="534">
          <cell r="A534" t="str">
            <v xml:space="preserve"> 5/31/88</v>
          </cell>
          <cell r="C534">
            <v>6.04</v>
          </cell>
          <cell r="D534">
            <v>6.86</v>
          </cell>
          <cell r="E534">
            <v>7.24</v>
          </cell>
          <cell r="F534">
            <v>7.63</v>
          </cell>
          <cell r="G534">
            <v>7.82</v>
          </cell>
          <cell r="H534">
            <v>8.1</v>
          </cell>
          <cell r="I534">
            <v>8.24</v>
          </cell>
          <cell r="J534">
            <v>8.49</v>
          </cell>
          <cell r="K534">
            <v>8.6199999999999992</v>
          </cell>
          <cell r="L534">
            <v>8.85</v>
          </cell>
          <cell r="M534">
            <v>9.11</v>
          </cell>
          <cell r="N534">
            <v>9.44</v>
          </cell>
          <cell r="O534">
            <v>9.77</v>
          </cell>
          <cell r="P534">
            <v>9.64</v>
          </cell>
          <cell r="Q534">
            <v>9.43</v>
          </cell>
        </row>
        <row r="535">
          <cell r="A535" t="str">
            <v xml:space="preserve"> 6/30/88</v>
          </cell>
          <cell r="C535">
            <v>6.4</v>
          </cell>
          <cell r="D535">
            <v>6.85</v>
          </cell>
          <cell r="E535">
            <v>7.19</v>
          </cell>
          <cell r="F535">
            <v>7.52</v>
          </cell>
          <cell r="G535">
            <v>7.69</v>
          </cell>
          <cell r="H535">
            <v>7.93</v>
          </cell>
          <cell r="I535">
            <v>8.0500000000000007</v>
          </cell>
          <cell r="J535">
            <v>8.24</v>
          </cell>
          <cell r="K535">
            <v>8.34</v>
          </cell>
          <cell r="L535">
            <v>8.52</v>
          </cell>
          <cell r="M535">
            <v>8.74</v>
          </cell>
          <cell r="N535">
            <v>9.0500000000000007</v>
          </cell>
          <cell r="O535">
            <v>9.3800000000000008</v>
          </cell>
          <cell r="P535">
            <v>9.26</v>
          </cell>
          <cell r="Q535">
            <v>9.0500000000000007</v>
          </cell>
        </row>
        <row r="536">
          <cell r="A536" t="str">
            <v xml:space="preserve"> 7/29/88</v>
          </cell>
          <cell r="C536">
            <v>6.32</v>
          </cell>
          <cell r="D536">
            <v>7.35</v>
          </cell>
          <cell r="E536">
            <v>7.62</v>
          </cell>
          <cell r="F536">
            <v>7.93</v>
          </cell>
          <cell r="G536">
            <v>8.09</v>
          </cell>
          <cell r="H536">
            <v>8.33</v>
          </cell>
          <cell r="I536">
            <v>8.4499999999999993</v>
          </cell>
          <cell r="J536">
            <v>8.58</v>
          </cell>
          <cell r="K536">
            <v>8.64</v>
          </cell>
          <cell r="L536">
            <v>8.83</v>
          </cell>
          <cell r="M536">
            <v>9.06</v>
          </cell>
          <cell r="N536">
            <v>9.36</v>
          </cell>
          <cell r="O536">
            <v>9.66</v>
          </cell>
          <cell r="P536">
            <v>9.59</v>
          </cell>
          <cell r="Q536">
            <v>9.4499999999999993</v>
          </cell>
        </row>
        <row r="537">
          <cell r="A537" t="str">
            <v xml:space="preserve"> 8/31/88</v>
          </cell>
          <cell r="C537">
            <v>7.55</v>
          </cell>
          <cell r="D537">
            <v>7.76</v>
          </cell>
          <cell r="E537">
            <v>8.1</v>
          </cell>
          <cell r="F537">
            <v>8.3699999999999992</v>
          </cell>
          <cell r="G537">
            <v>8.51</v>
          </cell>
          <cell r="H537">
            <v>8.67</v>
          </cell>
          <cell r="I537">
            <v>8.75</v>
          </cell>
          <cell r="J537">
            <v>8.85</v>
          </cell>
          <cell r="K537">
            <v>8.9</v>
          </cell>
          <cell r="L537">
            <v>9.0399999999999991</v>
          </cell>
          <cell r="M537">
            <v>9.19</v>
          </cell>
          <cell r="N537">
            <v>9.4</v>
          </cell>
          <cell r="O537">
            <v>9.6199999999999992</v>
          </cell>
          <cell r="P537">
            <v>9.57</v>
          </cell>
          <cell r="Q537">
            <v>9.4700000000000006</v>
          </cell>
        </row>
        <row r="538">
          <cell r="A538" t="str">
            <v xml:space="preserve"> 9/30/88</v>
          </cell>
          <cell r="C538">
            <v>7.27</v>
          </cell>
          <cell r="D538">
            <v>7.75</v>
          </cell>
          <cell r="E538">
            <v>8</v>
          </cell>
          <cell r="F538">
            <v>8.2100000000000009</v>
          </cell>
          <cell r="G538">
            <v>8.32</v>
          </cell>
          <cell r="H538">
            <v>8.42</v>
          </cell>
          <cell r="I538">
            <v>8.4600000000000009</v>
          </cell>
          <cell r="J538">
            <v>8.5399999999999991</v>
          </cell>
          <cell r="K538">
            <v>8.57</v>
          </cell>
          <cell r="L538">
            <v>8.69</v>
          </cell>
          <cell r="M538">
            <v>8.82</v>
          </cell>
          <cell r="N538">
            <v>9.0500000000000007</v>
          </cell>
          <cell r="O538">
            <v>9.31</v>
          </cell>
          <cell r="P538">
            <v>9.25</v>
          </cell>
          <cell r="Q538">
            <v>9.1199999999999992</v>
          </cell>
        </row>
        <row r="539">
          <cell r="A539" t="str">
            <v>10/31/88</v>
          </cell>
          <cell r="C539">
            <v>6.99</v>
          </cell>
          <cell r="D539">
            <v>7.74</v>
          </cell>
          <cell r="E539">
            <v>7.98</v>
          </cell>
          <cell r="F539">
            <v>8.11</v>
          </cell>
          <cell r="G539">
            <v>8.18</v>
          </cell>
          <cell r="H539">
            <v>8.24</v>
          </cell>
          <cell r="I539">
            <v>8.27</v>
          </cell>
          <cell r="J539">
            <v>8.3000000000000007</v>
          </cell>
          <cell r="K539">
            <v>8.32</v>
          </cell>
          <cell r="L539">
            <v>8.44</v>
          </cell>
          <cell r="M539">
            <v>8.57</v>
          </cell>
          <cell r="N539">
            <v>8.8000000000000007</v>
          </cell>
          <cell r="O539">
            <v>9.0500000000000007</v>
          </cell>
          <cell r="P539">
            <v>8.9600000000000009</v>
          </cell>
          <cell r="Q539">
            <v>8.8000000000000007</v>
          </cell>
        </row>
        <row r="540">
          <cell r="A540" t="str">
            <v>11/30/88</v>
          </cell>
          <cell r="C540">
            <v>6.75</v>
          </cell>
          <cell r="D540">
            <v>8.2899999999999991</v>
          </cell>
          <cell r="E540">
            <v>8.58</v>
          </cell>
          <cell r="F540">
            <v>8.7200000000000006</v>
          </cell>
          <cell r="G540">
            <v>8.7899999999999991</v>
          </cell>
          <cell r="H540">
            <v>8.84</v>
          </cell>
          <cell r="I540">
            <v>8.8699999999999992</v>
          </cell>
          <cell r="J540">
            <v>8.89</v>
          </cell>
          <cell r="K540">
            <v>8.91</v>
          </cell>
          <cell r="L540">
            <v>8.9700000000000006</v>
          </cell>
          <cell r="M540">
            <v>9.0500000000000007</v>
          </cell>
          <cell r="N540">
            <v>9.17</v>
          </cell>
          <cell r="O540">
            <v>9.32</v>
          </cell>
          <cell r="P540">
            <v>9.2200000000000006</v>
          </cell>
          <cell r="Q540">
            <v>9.08</v>
          </cell>
        </row>
        <row r="541">
          <cell r="A541" t="str">
            <v>12/30/88</v>
          </cell>
          <cell r="C541">
            <v>5.77</v>
          </cell>
          <cell r="D541">
            <v>8.5299999999999994</v>
          </cell>
          <cell r="E541">
            <v>8.89</v>
          </cell>
          <cell r="F541">
            <v>9.1</v>
          </cell>
          <cell r="G541">
            <v>9.2100000000000009</v>
          </cell>
          <cell r="H541">
            <v>9.19</v>
          </cell>
          <cell r="I541">
            <v>9.18</v>
          </cell>
          <cell r="J541">
            <v>9.19</v>
          </cell>
          <cell r="K541">
            <v>9.19</v>
          </cell>
          <cell r="L541">
            <v>9.1999999999999993</v>
          </cell>
          <cell r="M541">
            <v>9.2100000000000009</v>
          </cell>
          <cell r="N541">
            <v>9.19</v>
          </cell>
          <cell r="O541">
            <v>9.17</v>
          </cell>
          <cell r="P541">
            <v>9.0399999999999991</v>
          </cell>
          <cell r="Q541">
            <v>8.86</v>
          </cell>
        </row>
        <row r="542">
          <cell r="A542" t="str">
            <v xml:space="preserve"> 1/31/89</v>
          </cell>
          <cell r="C542">
            <v>8.09</v>
          </cell>
          <cell r="D542">
            <v>8.86</v>
          </cell>
          <cell r="E542">
            <v>8.94</v>
          </cell>
          <cell r="F542">
            <v>9.08</v>
          </cell>
          <cell r="G542">
            <v>9.15</v>
          </cell>
          <cell r="H542">
            <v>9.14</v>
          </cell>
          <cell r="I542">
            <v>9.1300000000000008</v>
          </cell>
          <cell r="J542">
            <v>9.1300000000000008</v>
          </cell>
          <cell r="K542">
            <v>9.1199999999999992</v>
          </cell>
          <cell r="L542">
            <v>9.08</v>
          </cell>
          <cell r="M542">
            <v>9.0299999999999994</v>
          </cell>
          <cell r="N542">
            <v>9.01</v>
          </cell>
          <cell r="O542">
            <v>8.99</v>
          </cell>
          <cell r="P542">
            <v>8.85</v>
          </cell>
          <cell r="Q542">
            <v>8.67</v>
          </cell>
        </row>
        <row r="543">
          <cell r="A543" t="str">
            <v xml:space="preserve"> 2/28/89</v>
          </cell>
          <cell r="C543">
            <v>7.72</v>
          </cell>
          <cell r="D543">
            <v>9.17</v>
          </cell>
          <cell r="E543">
            <v>9.32</v>
          </cell>
          <cell r="F543">
            <v>9.5399999999999991</v>
          </cell>
          <cell r="G543">
            <v>9.66</v>
          </cell>
          <cell r="H543">
            <v>9.6</v>
          </cell>
          <cell r="I543">
            <v>9.58</v>
          </cell>
          <cell r="J543">
            <v>9.5500000000000007</v>
          </cell>
          <cell r="K543">
            <v>9.5299999999999994</v>
          </cell>
          <cell r="L543">
            <v>9.4600000000000009</v>
          </cell>
          <cell r="M543">
            <v>9.3800000000000008</v>
          </cell>
          <cell r="N543">
            <v>9.35</v>
          </cell>
          <cell r="O543">
            <v>9.33</v>
          </cell>
          <cell r="P543">
            <v>9.16</v>
          </cell>
          <cell r="Q543">
            <v>8.9499999999999993</v>
          </cell>
        </row>
        <row r="544">
          <cell r="A544" t="str">
            <v xml:space="preserve"> 3/31/89</v>
          </cell>
          <cell r="C544">
            <v>8.9499999999999993</v>
          </cell>
          <cell r="D544">
            <v>9.3800000000000008</v>
          </cell>
          <cell r="E544">
            <v>9.58</v>
          </cell>
          <cell r="F544">
            <v>9.82</v>
          </cell>
          <cell r="G544">
            <v>9.94</v>
          </cell>
          <cell r="H544">
            <v>9.83</v>
          </cell>
          <cell r="I544">
            <v>9.77</v>
          </cell>
          <cell r="J544">
            <v>9.7100000000000009</v>
          </cell>
          <cell r="K544">
            <v>9.67</v>
          </cell>
          <cell r="L544">
            <v>9.5299999999999994</v>
          </cell>
          <cell r="M544">
            <v>9.36</v>
          </cell>
          <cell r="N544">
            <v>9.2799999999999994</v>
          </cell>
          <cell r="O544">
            <v>9.24</v>
          </cell>
          <cell r="P544">
            <v>9.1</v>
          </cell>
          <cell r="Q544">
            <v>8.92</v>
          </cell>
        </row>
        <row r="545">
          <cell r="A545" t="str">
            <v xml:space="preserve"> 4/28/89</v>
          </cell>
          <cell r="C545">
            <v>8.73</v>
          </cell>
          <cell r="D545">
            <v>8.9700000000000006</v>
          </cell>
          <cell r="E545">
            <v>9.09</v>
          </cell>
          <cell r="F545">
            <v>9.27</v>
          </cell>
          <cell r="G545">
            <v>9.36</v>
          </cell>
          <cell r="H545">
            <v>9.2799999999999994</v>
          </cell>
          <cell r="I545">
            <v>9.25</v>
          </cell>
          <cell r="J545">
            <v>9.19</v>
          </cell>
          <cell r="K545">
            <v>9.16</v>
          </cell>
          <cell r="L545">
            <v>9.1199999999999992</v>
          </cell>
          <cell r="M545">
            <v>9.07</v>
          </cell>
          <cell r="N545">
            <v>9.08</v>
          </cell>
          <cell r="O545">
            <v>9.11</v>
          </cell>
          <cell r="P545">
            <v>8.9600000000000009</v>
          </cell>
          <cell r="Q545">
            <v>8.76</v>
          </cell>
        </row>
        <row r="546">
          <cell r="A546" t="str">
            <v xml:space="preserve"> 5/31/89</v>
          </cell>
          <cell r="C546">
            <v>8.58</v>
          </cell>
          <cell r="D546">
            <v>9.08</v>
          </cell>
          <cell r="E546">
            <v>8.9600000000000009</v>
          </cell>
          <cell r="F546">
            <v>9.02</v>
          </cell>
          <cell r="G546">
            <v>9.0500000000000007</v>
          </cell>
          <cell r="H546">
            <v>8.89</v>
          </cell>
          <cell r="I546">
            <v>8.8000000000000007</v>
          </cell>
          <cell r="J546">
            <v>8.8000000000000007</v>
          </cell>
          <cell r="K546">
            <v>8.81</v>
          </cell>
          <cell r="L546">
            <v>8.73</v>
          </cell>
          <cell r="M546">
            <v>8.66</v>
          </cell>
          <cell r="N546">
            <v>8.6999999999999993</v>
          </cell>
          <cell r="O546">
            <v>8.7899999999999991</v>
          </cell>
          <cell r="P546">
            <v>8.68</v>
          </cell>
          <cell r="Q546">
            <v>8.52</v>
          </cell>
        </row>
        <row r="547">
          <cell r="A547" t="str">
            <v xml:space="preserve"> 6/30/89</v>
          </cell>
          <cell r="C547">
            <v>8.43</v>
          </cell>
          <cell r="D547">
            <v>8.4600000000000009</v>
          </cell>
          <cell r="E547">
            <v>8.26</v>
          </cell>
          <cell r="F547">
            <v>8.34</v>
          </cell>
          <cell r="G547">
            <v>8.3800000000000008</v>
          </cell>
          <cell r="H547">
            <v>8.17</v>
          </cell>
          <cell r="I547">
            <v>8.07</v>
          </cell>
          <cell r="J547">
            <v>8.11</v>
          </cell>
          <cell r="K547">
            <v>8.1300000000000008</v>
          </cell>
          <cell r="L547">
            <v>8.14</v>
          </cell>
          <cell r="M547">
            <v>8.16</v>
          </cell>
          <cell r="N547">
            <v>8.2100000000000009</v>
          </cell>
          <cell r="O547">
            <v>8.2799999999999994</v>
          </cell>
          <cell r="P547">
            <v>8.14</v>
          </cell>
          <cell r="Q547">
            <v>7.94</v>
          </cell>
        </row>
        <row r="548">
          <cell r="A548" t="str">
            <v xml:space="preserve"> 7/31/89</v>
          </cell>
          <cell r="C548">
            <v>8.02</v>
          </cell>
          <cell r="D548">
            <v>8.16</v>
          </cell>
          <cell r="E548">
            <v>7.87</v>
          </cell>
          <cell r="F548">
            <v>7.86</v>
          </cell>
          <cell r="G548">
            <v>7.85</v>
          </cell>
          <cell r="H548">
            <v>7.65</v>
          </cell>
          <cell r="I548">
            <v>7.55</v>
          </cell>
          <cell r="J548">
            <v>7.58</v>
          </cell>
          <cell r="K548">
            <v>7.59</v>
          </cell>
          <cell r="L548">
            <v>7.68</v>
          </cell>
          <cell r="M548">
            <v>7.78</v>
          </cell>
          <cell r="N548">
            <v>7.97</v>
          </cell>
          <cell r="O548">
            <v>8.18</v>
          </cell>
          <cell r="P548">
            <v>8.07</v>
          </cell>
          <cell r="Q548">
            <v>7.88</v>
          </cell>
        </row>
        <row r="549">
          <cell r="A549" t="str">
            <v xml:space="preserve"> 8/31/89</v>
          </cell>
          <cell r="C549">
            <v>7.9</v>
          </cell>
          <cell r="D549">
            <v>8.26</v>
          </cell>
          <cell r="E549">
            <v>8.32</v>
          </cell>
          <cell r="F549">
            <v>8.44</v>
          </cell>
          <cell r="G549">
            <v>8.5</v>
          </cell>
          <cell r="H549">
            <v>8.41</v>
          </cell>
          <cell r="I549">
            <v>8.36</v>
          </cell>
          <cell r="J549">
            <v>8.3699999999999992</v>
          </cell>
          <cell r="K549">
            <v>8.3699999999999992</v>
          </cell>
          <cell r="L549">
            <v>8.34</v>
          </cell>
          <cell r="M549">
            <v>8.31</v>
          </cell>
          <cell r="N549">
            <v>8.35</v>
          </cell>
          <cell r="O549">
            <v>8.43</v>
          </cell>
          <cell r="P549">
            <v>8.31</v>
          </cell>
          <cell r="Q549">
            <v>8.1300000000000008</v>
          </cell>
        </row>
        <row r="550">
          <cell r="A550" t="str">
            <v xml:space="preserve"> 9/29/89</v>
          </cell>
          <cell r="C550">
            <v>7.86</v>
          </cell>
          <cell r="D550">
            <v>8.35</v>
          </cell>
          <cell r="E550">
            <v>8.49</v>
          </cell>
          <cell r="F550">
            <v>8.57</v>
          </cell>
          <cell r="G550">
            <v>8.6199999999999992</v>
          </cell>
          <cell r="H550">
            <v>8.49</v>
          </cell>
          <cell r="I550">
            <v>8.42</v>
          </cell>
          <cell r="J550">
            <v>8.4600000000000009</v>
          </cell>
          <cell r="K550">
            <v>8.48</v>
          </cell>
          <cell r="L550">
            <v>8.43</v>
          </cell>
          <cell r="M550">
            <v>8.3800000000000008</v>
          </cell>
          <cell r="N550">
            <v>8.41</v>
          </cell>
          <cell r="O550">
            <v>8.48</v>
          </cell>
          <cell r="P550">
            <v>8.35</v>
          </cell>
          <cell r="Q550">
            <v>8.17</v>
          </cell>
        </row>
        <row r="551">
          <cell r="A551" t="str">
            <v>10/31/89</v>
          </cell>
          <cell r="C551">
            <v>7.87</v>
          </cell>
          <cell r="D551">
            <v>8.1300000000000008</v>
          </cell>
          <cell r="E551">
            <v>8.09</v>
          </cell>
          <cell r="F551">
            <v>8.0500000000000007</v>
          </cell>
          <cell r="G551">
            <v>8.0299999999999994</v>
          </cell>
          <cell r="H551">
            <v>7.92</v>
          </cell>
          <cell r="I551">
            <v>7.86</v>
          </cell>
          <cell r="J551">
            <v>7.93</v>
          </cell>
          <cell r="K551">
            <v>7.96</v>
          </cell>
          <cell r="L551">
            <v>7.97</v>
          </cell>
          <cell r="M551">
            <v>7.99</v>
          </cell>
          <cell r="N551">
            <v>8.06</v>
          </cell>
          <cell r="O551">
            <v>8.15</v>
          </cell>
          <cell r="P551">
            <v>8.0299999999999994</v>
          </cell>
          <cell r="Q551">
            <v>7.87</v>
          </cell>
        </row>
        <row r="552">
          <cell r="A552" t="str">
            <v>11/30/89</v>
          </cell>
          <cell r="C552">
            <v>6.55</v>
          </cell>
          <cell r="D552">
            <v>7.95</v>
          </cell>
          <cell r="E552">
            <v>7.9</v>
          </cell>
          <cell r="F552">
            <v>7.87</v>
          </cell>
          <cell r="G552">
            <v>7.85</v>
          </cell>
          <cell r="H552">
            <v>7.77</v>
          </cell>
          <cell r="I552">
            <v>7.74</v>
          </cell>
          <cell r="J552">
            <v>7.82</v>
          </cell>
          <cell r="K552">
            <v>7.86</v>
          </cell>
          <cell r="L552">
            <v>7.88</v>
          </cell>
          <cell r="M552">
            <v>7.9</v>
          </cell>
          <cell r="N552">
            <v>8.02</v>
          </cell>
          <cell r="O552">
            <v>8.17</v>
          </cell>
          <cell r="P552">
            <v>8.0299999999999994</v>
          </cell>
          <cell r="Q552">
            <v>7.83</v>
          </cell>
        </row>
        <row r="553">
          <cell r="A553" t="str">
            <v>12/29/89</v>
          </cell>
          <cell r="C553">
            <v>6.64</v>
          </cell>
          <cell r="D553">
            <v>8.06</v>
          </cell>
          <cell r="E553">
            <v>7.99</v>
          </cell>
          <cell r="F553">
            <v>8</v>
          </cell>
          <cell r="G553">
            <v>8</v>
          </cell>
          <cell r="H553">
            <v>7.94</v>
          </cell>
          <cell r="I553">
            <v>7.91</v>
          </cell>
          <cell r="J553">
            <v>7.95</v>
          </cell>
          <cell r="K553">
            <v>7.97</v>
          </cell>
          <cell r="L553">
            <v>7.99</v>
          </cell>
          <cell r="M553">
            <v>8.01</v>
          </cell>
          <cell r="N553">
            <v>8.1199999999999992</v>
          </cell>
          <cell r="O553">
            <v>8.25</v>
          </cell>
          <cell r="P553">
            <v>8.1</v>
          </cell>
          <cell r="Q553">
            <v>7.89</v>
          </cell>
        </row>
        <row r="554">
          <cell r="A554" t="str">
            <v xml:space="preserve"> 1/31/90</v>
          </cell>
          <cell r="C554">
            <v>7.47</v>
          </cell>
          <cell r="D554">
            <v>8.19</v>
          </cell>
          <cell r="E554">
            <v>8.1999999999999993</v>
          </cell>
          <cell r="F554">
            <v>8.23</v>
          </cell>
          <cell r="G554">
            <v>8.25</v>
          </cell>
          <cell r="H554">
            <v>8.3000000000000007</v>
          </cell>
          <cell r="I554">
            <v>8.33</v>
          </cell>
          <cell r="J554">
            <v>8.4</v>
          </cell>
          <cell r="K554">
            <v>8.44</v>
          </cell>
          <cell r="L554">
            <v>8.4499999999999993</v>
          </cell>
          <cell r="M554">
            <v>8.4700000000000006</v>
          </cell>
          <cell r="N554">
            <v>8.6199999999999992</v>
          </cell>
          <cell r="O554">
            <v>8.81</v>
          </cell>
          <cell r="P554">
            <v>8.61</v>
          </cell>
          <cell r="Q554">
            <v>8.33</v>
          </cell>
        </row>
        <row r="555">
          <cell r="A555" t="str">
            <v xml:space="preserve"> 2/28/90</v>
          </cell>
          <cell r="C555">
            <v>7.56</v>
          </cell>
          <cell r="D555">
            <v>8.19</v>
          </cell>
          <cell r="E555">
            <v>8.16</v>
          </cell>
          <cell r="F555">
            <v>8.1999999999999993</v>
          </cell>
          <cell r="G555">
            <v>8.2200000000000006</v>
          </cell>
          <cell r="H555">
            <v>8.36</v>
          </cell>
          <cell r="I555">
            <v>8.43</v>
          </cell>
          <cell r="J555">
            <v>8.5299999999999994</v>
          </cell>
          <cell r="K555">
            <v>8.58</v>
          </cell>
          <cell r="L555">
            <v>8.58</v>
          </cell>
          <cell r="M555">
            <v>8.59</v>
          </cell>
          <cell r="N555">
            <v>8.7100000000000009</v>
          </cell>
          <cell r="O555">
            <v>8.8800000000000008</v>
          </cell>
          <cell r="P555">
            <v>8.69</v>
          </cell>
          <cell r="Q555">
            <v>8.42</v>
          </cell>
        </row>
        <row r="556">
          <cell r="A556" t="str">
            <v xml:space="preserve"> 3/30/90</v>
          </cell>
          <cell r="C556">
            <v>8.23</v>
          </cell>
          <cell r="D556">
            <v>8.27</v>
          </cell>
          <cell r="E556">
            <v>8.32</v>
          </cell>
          <cell r="F556">
            <v>8.42</v>
          </cell>
          <cell r="G556">
            <v>8.4700000000000006</v>
          </cell>
          <cell r="H556">
            <v>8.61</v>
          </cell>
          <cell r="I556">
            <v>8.68</v>
          </cell>
          <cell r="J556">
            <v>8.74</v>
          </cell>
          <cell r="K556">
            <v>8.7799999999999994</v>
          </cell>
          <cell r="L556">
            <v>8.74</v>
          </cell>
          <cell r="M556">
            <v>8.6999999999999993</v>
          </cell>
          <cell r="N556">
            <v>8.8000000000000007</v>
          </cell>
          <cell r="O556">
            <v>8.9600000000000009</v>
          </cell>
          <cell r="P556">
            <v>8.7799999999999994</v>
          </cell>
          <cell r="Q556">
            <v>8.5299999999999994</v>
          </cell>
        </row>
        <row r="557">
          <cell r="A557" t="str">
            <v xml:space="preserve"> 4/30/90</v>
          </cell>
          <cell r="C557">
            <v>7.67</v>
          </cell>
          <cell r="D557">
            <v>8.31</v>
          </cell>
          <cell r="E557">
            <v>8.4499999999999993</v>
          </cell>
          <cell r="F557">
            <v>8.64</v>
          </cell>
          <cell r="G557">
            <v>8.74</v>
          </cell>
          <cell r="H557">
            <v>8.91</v>
          </cell>
          <cell r="I557">
            <v>8.99</v>
          </cell>
          <cell r="J557">
            <v>9.08</v>
          </cell>
          <cell r="K557">
            <v>9.1199999999999992</v>
          </cell>
          <cell r="L557">
            <v>9.11</v>
          </cell>
          <cell r="M557">
            <v>9.09</v>
          </cell>
          <cell r="N557">
            <v>9.19</v>
          </cell>
          <cell r="O557">
            <v>9.32</v>
          </cell>
          <cell r="P557">
            <v>9.15</v>
          </cell>
          <cell r="Q557">
            <v>8.9</v>
          </cell>
        </row>
        <row r="558">
          <cell r="A558" t="str">
            <v xml:space="preserve"> 5/31/90</v>
          </cell>
          <cell r="C558">
            <v>6.94</v>
          </cell>
          <cell r="D558">
            <v>8.19</v>
          </cell>
          <cell r="E558">
            <v>8.18</v>
          </cell>
          <cell r="F558">
            <v>8.24</v>
          </cell>
          <cell r="G558">
            <v>8.26</v>
          </cell>
          <cell r="H558">
            <v>8.42</v>
          </cell>
          <cell r="I558">
            <v>8.49</v>
          </cell>
          <cell r="J558">
            <v>8.59</v>
          </cell>
          <cell r="K558">
            <v>8.64</v>
          </cell>
          <cell r="L558">
            <v>8.66</v>
          </cell>
          <cell r="M558">
            <v>8.67</v>
          </cell>
          <cell r="N558">
            <v>8.77</v>
          </cell>
          <cell r="O558">
            <v>8.9</v>
          </cell>
          <cell r="P558">
            <v>8.7200000000000006</v>
          </cell>
          <cell r="Q558">
            <v>8.4600000000000009</v>
          </cell>
        </row>
        <row r="559">
          <cell r="A559" t="str">
            <v xml:space="preserve"> 6/29/90</v>
          </cell>
          <cell r="C559">
            <v>7.64</v>
          </cell>
          <cell r="D559">
            <v>8.09</v>
          </cell>
          <cell r="E559">
            <v>8.02</v>
          </cell>
          <cell r="F559">
            <v>8.09</v>
          </cell>
          <cell r="G559">
            <v>8.1300000000000008</v>
          </cell>
          <cell r="H559">
            <v>8.2100000000000009</v>
          </cell>
          <cell r="I559">
            <v>8.25</v>
          </cell>
          <cell r="J559">
            <v>8.3699999999999992</v>
          </cell>
          <cell r="K559">
            <v>8.43</v>
          </cell>
          <cell r="L559">
            <v>8.4600000000000009</v>
          </cell>
          <cell r="M559">
            <v>8.49</v>
          </cell>
          <cell r="N559">
            <v>8.6</v>
          </cell>
          <cell r="O559">
            <v>8.7200000000000006</v>
          </cell>
          <cell r="P559">
            <v>8.5500000000000007</v>
          </cell>
          <cell r="Q559">
            <v>8.31</v>
          </cell>
        </row>
        <row r="560">
          <cell r="A560" t="str">
            <v xml:space="preserve"> 7/31/90</v>
          </cell>
          <cell r="C560">
            <v>7.62</v>
          </cell>
          <cell r="D560">
            <v>7.83</v>
          </cell>
          <cell r="E560">
            <v>7.73</v>
          </cell>
          <cell r="F560">
            <v>7.8</v>
          </cell>
          <cell r="G560">
            <v>7.84</v>
          </cell>
          <cell r="H560">
            <v>7.91</v>
          </cell>
          <cell r="I560">
            <v>7.94</v>
          </cell>
          <cell r="J560">
            <v>8.08</v>
          </cell>
          <cell r="K560">
            <v>8.14</v>
          </cell>
          <cell r="L560">
            <v>8.24</v>
          </cell>
          <cell r="M560">
            <v>8.36</v>
          </cell>
          <cell r="N560">
            <v>8.5500000000000007</v>
          </cell>
          <cell r="O560">
            <v>8.75</v>
          </cell>
          <cell r="P560">
            <v>8.58</v>
          </cell>
          <cell r="Q560">
            <v>8.33</v>
          </cell>
        </row>
        <row r="561">
          <cell r="A561" t="str">
            <v xml:space="preserve"> 8/31/90</v>
          </cell>
          <cell r="C561">
            <v>7.59</v>
          </cell>
          <cell r="D561">
            <v>7.78</v>
          </cell>
          <cell r="E561">
            <v>7.79</v>
          </cell>
          <cell r="F561">
            <v>7.91</v>
          </cell>
          <cell r="G561">
            <v>7.97</v>
          </cell>
          <cell r="H561">
            <v>8.07</v>
          </cell>
          <cell r="I561">
            <v>8.1199999999999992</v>
          </cell>
          <cell r="J561">
            <v>8.3800000000000008</v>
          </cell>
          <cell r="K561">
            <v>8.5</v>
          </cell>
          <cell r="L561">
            <v>8.66</v>
          </cell>
          <cell r="M561">
            <v>8.84</v>
          </cell>
          <cell r="N561">
            <v>9.1199999999999992</v>
          </cell>
          <cell r="O561">
            <v>9.42</v>
          </cell>
          <cell r="P561">
            <v>9.23</v>
          </cell>
          <cell r="Q561">
            <v>8.92</v>
          </cell>
        </row>
        <row r="562">
          <cell r="A562" t="str">
            <v xml:space="preserve"> 9/28/90</v>
          </cell>
          <cell r="C562">
            <v>7.17</v>
          </cell>
          <cell r="D562">
            <v>7.51</v>
          </cell>
          <cell r="E562">
            <v>7.67</v>
          </cell>
          <cell r="F562">
            <v>7.81</v>
          </cell>
          <cell r="G562">
            <v>7.88</v>
          </cell>
          <cell r="H562">
            <v>7.98</v>
          </cell>
          <cell r="I562">
            <v>8.02</v>
          </cell>
          <cell r="J562">
            <v>8.2899999999999991</v>
          </cell>
          <cell r="K562">
            <v>8.42</v>
          </cell>
          <cell r="L562">
            <v>8.59</v>
          </cell>
          <cell r="M562">
            <v>8.7899999999999991</v>
          </cell>
          <cell r="N562">
            <v>9.06</v>
          </cell>
          <cell r="O562">
            <v>9.33</v>
          </cell>
          <cell r="P562">
            <v>9.18</v>
          </cell>
          <cell r="Q562">
            <v>8.92</v>
          </cell>
        </row>
        <row r="563">
          <cell r="A563" t="str">
            <v>10/31/90</v>
          </cell>
          <cell r="C563">
            <v>6.76</v>
          </cell>
          <cell r="D563">
            <v>7.48</v>
          </cell>
          <cell r="E563">
            <v>7.48</v>
          </cell>
          <cell r="F563">
            <v>7.56</v>
          </cell>
          <cell r="G563">
            <v>7.6</v>
          </cell>
          <cell r="H563">
            <v>7.72</v>
          </cell>
          <cell r="I563">
            <v>7.79</v>
          </cell>
          <cell r="J563">
            <v>8.0399999999999991</v>
          </cell>
          <cell r="K563">
            <v>8.17</v>
          </cell>
          <cell r="L563">
            <v>8.3699999999999992</v>
          </cell>
          <cell r="M563">
            <v>8.59</v>
          </cell>
          <cell r="N563">
            <v>8.89</v>
          </cell>
          <cell r="O563">
            <v>9.19</v>
          </cell>
          <cell r="P563">
            <v>9.02</v>
          </cell>
          <cell r="Q563">
            <v>8.76</v>
          </cell>
        </row>
        <row r="564">
          <cell r="A564" t="str">
            <v>11/30/90</v>
          </cell>
          <cell r="C564">
            <v>6.92</v>
          </cell>
          <cell r="D564">
            <v>7.38</v>
          </cell>
          <cell r="E564">
            <v>7.4</v>
          </cell>
          <cell r="F564">
            <v>7.43</v>
          </cell>
          <cell r="G564">
            <v>7.45</v>
          </cell>
          <cell r="H564">
            <v>7.54</v>
          </cell>
          <cell r="I564">
            <v>7.58</v>
          </cell>
          <cell r="J564">
            <v>7.79</v>
          </cell>
          <cell r="K564">
            <v>7.9</v>
          </cell>
          <cell r="L564">
            <v>8.06</v>
          </cell>
          <cell r="M564">
            <v>8.25</v>
          </cell>
          <cell r="N564">
            <v>8.49</v>
          </cell>
          <cell r="O564">
            <v>8.73</v>
          </cell>
          <cell r="P564">
            <v>8.61</v>
          </cell>
          <cell r="Q564">
            <v>8.41</v>
          </cell>
        </row>
        <row r="565">
          <cell r="A565" t="str">
            <v>12/31/90</v>
          </cell>
          <cell r="C565">
            <v>5.59</v>
          </cell>
          <cell r="D565">
            <v>6.75</v>
          </cell>
          <cell r="E565">
            <v>6.85</v>
          </cell>
          <cell r="F565">
            <v>6.99</v>
          </cell>
          <cell r="G565">
            <v>7.06</v>
          </cell>
          <cell r="H565">
            <v>7.18</v>
          </cell>
          <cell r="I565">
            <v>7.24</v>
          </cell>
          <cell r="J565">
            <v>7.5</v>
          </cell>
          <cell r="K565">
            <v>7.64</v>
          </cell>
          <cell r="L565">
            <v>7.85</v>
          </cell>
          <cell r="M565">
            <v>8.09</v>
          </cell>
          <cell r="N565">
            <v>8.3699999999999992</v>
          </cell>
          <cell r="O565">
            <v>8.65</v>
          </cell>
          <cell r="P565">
            <v>8.5</v>
          </cell>
          <cell r="Q565">
            <v>8.27</v>
          </cell>
        </row>
        <row r="566">
          <cell r="A566" t="str">
            <v xml:space="preserve"> 1/31/91</v>
          </cell>
          <cell r="C566">
            <v>5.76</v>
          </cell>
          <cell r="D566">
            <v>6.47</v>
          </cell>
          <cell r="E566">
            <v>6.51</v>
          </cell>
          <cell r="F566">
            <v>6.68</v>
          </cell>
          <cell r="G566">
            <v>6.76</v>
          </cell>
          <cell r="H566">
            <v>6.97</v>
          </cell>
          <cell r="I566">
            <v>7.08</v>
          </cell>
          <cell r="J566">
            <v>7.41</v>
          </cell>
          <cell r="K566">
            <v>7.57</v>
          </cell>
          <cell r="L566">
            <v>7.77</v>
          </cell>
          <cell r="M566">
            <v>8</v>
          </cell>
          <cell r="N566">
            <v>8.3000000000000007</v>
          </cell>
          <cell r="O566">
            <v>8.6199999999999992</v>
          </cell>
          <cell r="P566">
            <v>8.4700000000000006</v>
          </cell>
          <cell r="Q566">
            <v>8.2200000000000006</v>
          </cell>
        </row>
        <row r="567">
          <cell r="A567" t="str">
            <v xml:space="preserve"> 2/28/91</v>
          </cell>
          <cell r="C567">
            <v>5.6</v>
          </cell>
          <cell r="D567">
            <v>6.34</v>
          </cell>
          <cell r="E567">
            <v>6.34</v>
          </cell>
          <cell r="F567">
            <v>6.5</v>
          </cell>
          <cell r="G567">
            <v>6.58</v>
          </cell>
          <cell r="H567">
            <v>6.89</v>
          </cell>
          <cell r="I567">
            <v>7.04</v>
          </cell>
          <cell r="J567">
            <v>7.4</v>
          </cell>
          <cell r="K567">
            <v>7.58</v>
          </cell>
          <cell r="L567">
            <v>7.78</v>
          </cell>
          <cell r="M567">
            <v>8.01</v>
          </cell>
          <cell r="N567">
            <v>8.33</v>
          </cell>
          <cell r="O567">
            <v>8.66</v>
          </cell>
          <cell r="P567">
            <v>8.49</v>
          </cell>
          <cell r="Q567">
            <v>8.2100000000000009</v>
          </cell>
        </row>
        <row r="568">
          <cell r="A568" t="str">
            <v xml:space="preserve"> 3/28/91</v>
          </cell>
          <cell r="C568">
            <v>5.96</v>
          </cell>
          <cell r="D568">
            <v>6.11</v>
          </cell>
          <cell r="E568">
            <v>6.1</v>
          </cell>
          <cell r="F568">
            <v>6.35</v>
          </cell>
          <cell r="G568">
            <v>6.48</v>
          </cell>
          <cell r="H568">
            <v>6.87</v>
          </cell>
          <cell r="I568">
            <v>7.06</v>
          </cell>
          <cell r="J568">
            <v>7.48</v>
          </cell>
          <cell r="K568">
            <v>7.69</v>
          </cell>
          <cell r="L568">
            <v>7.87</v>
          </cell>
          <cell r="M568">
            <v>8.08</v>
          </cell>
          <cell r="N568">
            <v>8.36</v>
          </cell>
          <cell r="O568">
            <v>8.65</v>
          </cell>
          <cell r="P568">
            <v>8.52</v>
          </cell>
          <cell r="Q568">
            <v>8.3000000000000007</v>
          </cell>
        </row>
        <row r="569">
          <cell r="A569" t="str">
            <v xml:space="preserve"> 4/30/91</v>
          </cell>
          <cell r="C569">
            <v>5.55</v>
          </cell>
          <cell r="D569">
            <v>5.79</v>
          </cell>
          <cell r="E569">
            <v>5.86</v>
          </cell>
          <cell r="F569">
            <v>6.14</v>
          </cell>
          <cell r="G569">
            <v>6.29</v>
          </cell>
          <cell r="H569">
            <v>6.68</v>
          </cell>
          <cell r="I569">
            <v>6.88</v>
          </cell>
          <cell r="J569">
            <v>7.32</v>
          </cell>
          <cell r="K569">
            <v>7.55</v>
          </cell>
          <cell r="L569">
            <v>7.78</v>
          </cell>
          <cell r="M569">
            <v>8.0399999999999991</v>
          </cell>
          <cell r="N569">
            <v>8.33</v>
          </cell>
          <cell r="O569">
            <v>8.6</v>
          </cell>
          <cell r="P569">
            <v>8.4600000000000009</v>
          </cell>
          <cell r="Q569">
            <v>8.23</v>
          </cell>
        </row>
        <row r="570">
          <cell r="A570" t="str">
            <v xml:space="preserve"> 5/31/91</v>
          </cell>
          <cell r="C570">
            <v>4.96</v>
          </cell>
          <cell r="D570">
            <v>5.85</v>
          </cell>
          <cell r="E570">
            <v>5.86</v>
          </cell>
          <cell r="F570">
            <v>6.17</v>
          </cell>
          <cell r="G570">
            <v>6.33</v>
          </cell>
          <cell r="H570">
            <v>6.65</v>
          </cell>
          <cell r="I570">
            <v>6.81</v>
          </cell>
          <cell r="J570">
            <v>7.31</v>
          </cell>
          <cell r="K570">
            <v>7.55</v>
          </cell>
          <cell r="L570">
            <v>7.8</v>
          </cell>
          <cell r="M570">
            <v>8.07</v>
          </cell>
          <cell r="N570">
            <v>8.3800000000000008</v>
          </cell>
          <cell r="O570">
            <v>8.69</v>
          </cell>
          <cell r="P570">
            <v>8.5500000000000007</v>
          </cell>
          <cell r="Q570">
            <v>8.33</v>
          </cell>
        </row>
        <row r="571">
          <cell r="A571" t="str">
            <v xml:space="preserve"> 6/28/91</v>
          </cell>
          <cell r="C571">
            <v>5.29</v>
          </cell>
          <cell r="D571">
            <v>5.78</v>
          </cell>
          <cell r="E571">
            <v>5.95</v>
          </cell>
          <cell r="F571">
            <v>6.3</v>
          </cell>
          <cell r="G571">
            <v>6.48</v>
          </cell>
          <cell r="H571">
            <v>6.78</v>
          </cell>
          <cell r="I571">
            <v>6.93</v>
          </cell>
          <cell r="J571">
            <v>7.52</v>
          </cell>
          <cell r="K571">
            <v>7.83</v>
          </cell>
          <cell r="L571">
            <v>8.0399999999999991</v>
          </cell>
          <cell r="M571">
            <v>8.2799999999999994</v>
          </cell>
          <cell r="N571">
            <v>8.5399999999999991</v>
          </cell>
          <cell r="O571">
            <v>8.7899999999999991</v>
          </cell>
          <cell r="P571">
            <v>8.7100000000000009</v>
          </cell>
          <cell r="Q571">
            <v>8.56</v>
          </cell>
        </row>
        <row r="572">
          <cell r="A572" t="str">
            <v xml:space="preserve"> 7/31/91</v>
          </cell>
          <cell r="C572">
            <v>5.63</v>
          </cell>
          <cell r="D572">
            <v>5.8</v>
          </cell>
          <cell r="E572">
            <v>5.89</v>
          </cell>
          <cell r="F572">
            <v>6.14</v>
          </cell>
          <cell r="G572">
            <v>6.27</v>
          </cell>
          <cell r="H572">
            <v>6.63</v>
          </cell>
          <cell r="I572">
            <v>6.8</v>
          </cell>
          <cell r="J572">
            <v>7.36</v>
          </cell>
          <cell r="K572">
            <v>7.64</v>
          </cell>
          <cell r="L572">
            <v>7.88</v>
          </cell>
          <cell r="M572">
            <v>8.16</v>
          </cell>
          <cell r="N572">
            <v>8.4600000000000009</v>
          </cell>
          <cell r="O572">
            <v>8.73</v>
          </cell>
          <cell r="P572">
            <v>8.6300000000000008</v>
          </cell>
          <cell r="Q572">
            <v>8.4499999999999993</v>
          </cell>
        </row>
        <row r="573">
          <cell r="A573" t="str">
            <v xml:space="preserve"> 8/30/91</v>
          </cell>
          <cell r="C573">
            <v>5.41</v>
          </cell>
          <cell r="D573">
            <v>5.57</v>
          </cell>
          <cell r="E573">
            <v>5.64</v>
          </cell>
          <cell r="F573">
            <v>5.77</v>
          </cell>
          <cell r="G573">
            <v>5.83</v>
          </cell>
          <cell r="H573">
            <v>6.15</v>
          </cell>
          <cell r="I573">
            <v>6.31</v>
          </cell>
          <cell r="J573">
            <v>6.91</v>
          </cell>
          <cell r="K573">
            <v>7.21</v>
          </cell>
          <cell r="L573">
            <v>7.5</v>
          </cell>
          <cell r="M573">
            <v>7.83</v>
          </cell>
          <cell r="N573">
            <v>8.14</v>
          </cell>
          <cell r="O573">
            <v>8.43</v>
          </cell>
          <cell r="P573">
            <v>8.35</v>
          </cell>
          <cell r="Q573">
            <v>8.19</v>
          </cell>
        </row>
        <row r="574">
          <cell r="A574" t="str">
            <v xml:space="preserve"> 9/30/91</v>
          </cell>
          <cell r="C574">
            <v>5.08</v>
          </cell>
          <cell r="D574">
            <v>5.32</v>
          </cell>
          <cell r="E574">
            <v>5.34</v>
          </cell>
          <cell r="F574">
            <v>5.47</v>
          </cell>
          <cell r="G574">
            <v>5.53</v>
          </cell>
          <cell r="H574">
            <v>5.85</v>
          </cell>
          <cell r="I574">
            <v>6.01</v>
          </cell>
          <cell r="J574">
            <v>6.56</v>
          </cell>
          <cell r="K574">
            <v>6.83</v>
          </cell>
          <cell r="L574">
            <v>7.11</v>
          </cell>
          <cell r="M574">
            <v>7.43</v>
          </cell>
          <cell r="N574">
            <v>7.82</v>
          </cell>
          <cell r="O574">
            <v>8.2100000000000009</v>
          </cell>
          <cell r="P574">
            <v>8.15</v>
          </cell>
          <cell r="Q574">
            <v>8.01</v>
          </cell>
        </row>
        <row r="575">
          <cell r="A575" t="str">
            <v>10/31/91</v>
          </cell>
          <cell r="C575">
            <v>4.83</v>
          </cell>
          <cell r="D575">
            <v>5.05</v>
          </cell>
          <cell r="E575">
            <v>5.0199999999999996</v>
          </cell>
          <cell r="F575">
            <v>5.15</v>
          </cell>
          <cell r="G575">
            <v>5.21</v>
          </cell>
          <cell r="H575">
            <v>5.55</v>
          </cell>
          <cell r="I575">
            <v>5.72</v>
          </cell>
          <cell r="J575">
            <v>6.3</v>
          </cell>
          <cell r="K575">
            <v>6.59</v>
          </cell>
          <cell r="L575">
            <v>6.96</v>
          </cell>
          <cell r="M575">
            <v>7.39</v>
          </cell>
          <cell r="N575">
            <v>7.85</v>
          </cell>
          <cell r="O575">
            <v>8.2799999999999994</v>
          </cell>
          <cell r="P575">
            <v>8.26</v>
          </cell>
          <cell r="Q575">
            <v>8.15</v>
          </cell>
        </row>
        <row r="576">
          <cell r="A576" t="str">
            <v>11/29/91</v>
          </cell>
          <cell r="C576">
            <v>4.08</v>
          </cell>
          <cell r="D576">
            <v>4.62</v>
          </cell>
          <cell r="E576">
            <v>4.6100000000000003</v>
          </cell>
          <cell r="F576">
            <v>4.7699999999999996</v>
          </cell>
          <cell r="G576">
            <v>4.84</v>
          </cell>
          <cell r="H576">
            <v>5.2</v>
          </cell>
          <cell r="I576">
            <v>5.38</v>
          </cell>
          <cell r="J576">
            <v>6.05</v>
          </cell>
          <cell r="K576">
            <v>6.4</v>
          </cell>
          <cell r="L576">
            <v>6.82</v>
          </cell>
          <cell r="M576">
            <v>7.31</v>
          </cell>
          <cell r="N576">
            <v>7.82</v>
          </cell>
          <cell r="O576">
            <v>8.31</v>
          </cell>
          <cell r="P576">
            <v>8.35</v>
          </cell>
          <cell r="Q576">
            <v>8.33</v>
          </cell>
        </row>
        <row r="577">
          <cell r="A577" t="str">
            <v>12/31/91</v>
          </cell>
          <cell r="C577">
            <v>3.82</v>
          </cell>
          <cell r="D577">
            <v>3.9</v>
          </cell>
          <cell r="E577">
            <v>3.99</v>
          </cell>
          <cell r="F577">
            <v>4.17</v>
          </cell>
          <cell r="G577">
            <v>4.26</v>
          </cell>
          <cell r="H577">
            <v>4.59</v>
          </cell>
          <cell r="I577">
            <v>4.75</v>
          </cell>
          <cell r="J577">
            <v>5.47</v>
          </cell>
          <cell r="K577">
            <v>5.84</v>
          </cell>
          <cell r="L577">
            <v>6.22</v>
          </cell>
          <cell r="M577">
            <v>6.66</v>
          </cell>
          <cell r="N577">
            <v>7.21</v>
          </cell>
          <cell r="O577">
            <v>7.77</v>
          </cell>
          <cell r="P577">
            <v>7.85</v>
          </cell>
          <cell r="Q577">
            <v>7.85</v>
          </cell>
        </row>
        <row r="578">
          <cell r="A578" t="str">
            <v xml:space="preserve"> 1/31/92</v>
          </cell>
          <cell r="C578">
            <v>3.68</v>
          </cell>
          <cell r="D578">
            <v>4.04</v>
          </cell>
          <cell r="E578">
            <v>4.03</v>
          </cell>
          <cell r="F578">
            <v>4.3099999999999996</v>
          </cell>
          <cell r="G578">
            <v>4.46</v>
          </cell>
          <cell r="H578">
            <v>4.92</v>
          </cell>
          <cell r="I578">
            <v>5.15</v>
          </cell>
          <cell r="J578">
            <v>5.94</v>
          </cell>
          <cell r="K578">
            <v>6.34</v>
          </cell>
          <cell r="L578">
            <v>6.77</v>
          </cell>
          <cell r="M578">
            <v>7.27</v>
          </cell>
          <cell r="N578">
            <v>7.76</v>
          </cell>
          <cell r="O578">
            <v>8.2100000000000009</v>
          </cell>
          <cell r="P578">
            <v>8.16</v>
          </cell>
          <cell r="Q578">
            <v>8.0299999999999994</v>
          </cell>
        </row>
        <row r="579">
          <cell r="A579" t="str">
            <v xml:space="preserve"> 2/28/92</v>
          </cell>
          <cell r="C579">
            <v>3.86</v>
          </cell>
          <cell r="D579">
            <v>4.1100000000000003</v>
          </cell>
          <cell r="E579">
            <v>4.12</v>
          </cell>
          <cell r="F579">
            <v>4.3899999999999997</v>
          </cell>
          <cell r="G579">
            <v>4.53</v>
          </cell>
          <cell r="H579">
            <v>5.01</v>
          </cell>
          <cell r="I579">
            <v>5.25</v>
          </cell>
          <cell r="J579">
            <v>6.06</v>
          </cell>
          <cell r="K579">
            <v>6.47</v>
          </cell>
          <cell r="L579">
            <v>6.84</v>
          </cell>
          <cell r="M579">
            <v>7.27</v>
          </cell>
          <cell r="N579">
            <v>7.74</v>
          </cell>
          <cell r="O579">
            <v>8.18</v>
          </cell>
          <cell r="P579">
            <v>8.17</v>
          </cell>
          <cell r="Q579">
            <v>8.07</v>
          </cell>
        </row>
        <row r="580">
          <cell r="A580" t="str">
            <v xml:space="preserve"> 3/31/92</v>
          </cell>
          <cell r="C580">
            <v>4.0999999999999996</v>
          </cell>
          <cell r="D580">
            <v>4.1399999999999997</v>
          </cell>
          <cell r="E580">
            <v>4.28</v>
          </cell>
          <cell r="F580">
            <v>4.58</v>
          </cell>
          <cell r="G580">
            <v>4.74</v>
          </cell>
          <cell r="H580">
            <v>5.34</v>
          </cell>
          <cell r="I580">
            <v>5.65</v>
          </cell>
          <cell r="J580">
            <v>6.47</v>
          </cell>
          <cell r="K580">
            <v>6.88</v>
          </cell>
          <cell r="L580">
            <v>7.19</v>
          </cell>
          <cell r="M580">
            <v>7.54</v>
          </cell>
          <cell r="N580">
            <v>7.95</v>
          </cell>
          <cell r="O580">
            <v>8.34</v>
          </cell>
          <cell r="P580">
            <v>8.2899999999999991</v>
          </cell>
          <cell r="Q580">
            <v>8.17</v>
          </cell>
        </row>
        <row r="581">
          <cell r="A581" t="str">
            <v xml:space="preserve"> 4/30/92</v>
          </cell>
          <cell r="C581">
            <v>3.41</v>
          </cell>
          <cell r="D581">
            <v>3.87</v>
          </cell>
          <cell r="E581">
            <v>3.96</v>
          </cell>
          <cell r="F581">
            <v>4.2300000000000004</v>
          </cell>
          <cell r="G581">
            <v>4.3600000000000003</v>
          </cell>
          <cell r="H581">
            <v>5.08</v>
          </cell>
          <cell r="I581">
            <v>5.44</v>
          </cell>
          <cell r="J581">
            <v>6.29</v>
          </cell>
          <cell r="K581">
            <v>6.72</v>
          </cell>
          <cell r="L581">
            <v>7.11</v>
          </cell>
          <cell r="M581">
            <v>7.55</v>
          </cell>
          <cell r="N581">
            <v>8.0299999999999994</v>
          </cell>
          <cell r="O581">
            <v>8.48</v>
          </cell>
          <cell r="P581">
            <v>8.43</v>
          </cell>
          <cell r="Q581">
            <v>8.3000000000000007</v>
          </cell>
        </row>
        <row r="582">
          <cell r="A582" t="str">
            <v xml:space="preserve"> 5/29/92</v>
          </cell>
          <cell r="C582">
            <v>3.53</v>
          </cell>
          <cell r="D582">
            <v>3.85</v>
          </cell>
          <cell r="E582">
            <v>3.97</v>
          </cell>
          <cell r="F582">
            <v>4.1500000000000004</v>
          </cell>
          <cell r="G582">
            <v>4.25</v>
          </cell>
          <cell r="H582">
            <v>4.8499999999999996</v>
          </cell>
          <cell r="I582">
            <v>5.16</v>
          </cell>
          <cell r="J582">
            <v>5.98</v>
          </cell>
          <cell r="K582">
            <v>6.39</v>
          </cell>
          <cell r="L582">
            <v>6.81</v>
          </cell>
          <cell r="M582">
            <v>7.28</v>
          </cell>
          <cell r="N582">
            <v>7.8</v>
          </cell>
          <cell r="O582">
            <v>8.2899999999999991</v>
          </cell>
          <cell r="P582">
            <v>8.24</v>
          </cell>
          <cell r="Q582">
            <v>8.09</v>
          </cell>
        </row>
        <row r="583">
          <cell r="A583" t="str">
            <v xml:space="preserve"> 6/30/92</v>
          </cell>
          <cell r="C583">
            <v>3.56</v>
          </cell>
          <cell r="D583">
            <v>3.72</v>
          </cell>
          <cell r="E583">
            <v>3.83</v>
          </cell>
          <cell r="F583">
            <v>4</v>
          </cell>
          <cell r="G583">
            <v>4.09</v>
          </cell>
          <cell r="H583">
            <v>4.57</v>
          </cell>
          <cell r="I583">
            <v>4.8099999999999996</v>
          </cell>
          <cell r="J583">
            <v>5.63</v>
          </cell>
          <cell r="K583">
            <v>6.05</v>
          </cell>
          <cell r="L583">
            <v>6.51</v>
          </cell>
          <cell r="M583">
            <v>7.05</v>
          </cell>
          <cell r="N583">
            <v>7.64</v>
          </cell>
          <cell r="O583">
            <v>8.19</v>
          </cell>
          <cell r="P583">
            <v>8.24</v>
          </cell>
          <cell r="Q583">
            <v>8.2200000000000006</v>
          </cell>
        </row>
        <row r="584">
          <cell r="A584" t="str">
            <v xml:space="preserve"> 7/31/92</v>
          </cell>
          <cell r="C584">
            <v>3.1</v>
          </cell>
          <cell r="D584">
            <v>3.36</v>
          </cell>
          <cell r="E584">
            <v>3.42</v>
          </cell>
          <cell r="F584">
            <v>3.6</v>
          </cell>
          <cell r="G584">
            <v>3.68</v>
          </cell>
          <cell r="H584">
            <v>4.1500000000000004</v>
          </cell>
          <cell r="I584">
            <v>4.38</v>
          </cell>
          <cell r="J584">
            <v>5.19</v>
          </cell>
          <cell r="K584">
            <v>5.59</v>
          </cell>
          <cell r="L584">
            <v>6.06</v>
          </cell>
          <cell r="M584">
            <v>6.59</v>
          </cell>
          <cell r="N584">
            <v>7.2</v>
          </cell>
          <cell r="O584">
            <v>7.8</v>
          </cell>
          <cell r="P584">
            <v>7.91</v>
          </cell>
          <cell r="Q584">
            <v>7.95</v>
          </cell>
        </row>
        <row r="585">
          <cell r="A585" t="str">
            <v xml:space="preserve"> 8/31/92</v>
          </cell>
          <cell r="C585">
            <v>3.07</v>
          </cell>
          <cell r="D585">
            <v>3.26</v>
          </cell>
          <cell r="E585">
            <v>3.34</v>
          </cell>
          <cell r="F585">
            <v>3.45</v>
          </cell>
          <cell r="G585">
            <v>3.51</v>
          </cell>
          <cell r="H585">
            <v>3.89</v>
          </cell>
          <cell r="I585">
            <v>4.08</v>
          </cell>
          <cell r="J585">
            <v>4.92</v>
          </cell>
          <cell r="K585">
            <v>5.34</v>
          </cell>
          <cell r="L585">
            <v>5.88</v>
          </cell>
          <cell r="M585">
            <v>6.5</v>
          </cell>
          <cell r="N585">
            <v>7.19</v>
          </cell>
          <cell r="O585">
            <v>7.85</v>
          </cell>
          <cell r="P585">
            <v>7.96</v>
          </cell>
          <cell r="Q585">
            <v>7.99</v>
          </cell>
        </row>
        <row r="586">
          <cell r="A586" t="str">
            <v xml:space="preserve"> 9/30/92</v>
          </cell>
          <cell r="C586">
            <v>2.67</v>
          </cell>
          <cell r="D586">
            <v>2.81</v>
          </cell>
          <cell r="E586">
            <v>2.97</v>
          </cell>
          <cell r="F586">
            <v>3.08</v>
          </cell>
          <cell r="G586">
            <v>3.14</v>
          </cell>
          <cell r="H586">
            <v>3.55</v>
          </cell>
          <cell r="I586">
            <v>3.76</v>
          </cell>
          <cell r="J586">
            <v>4.58</v>
          </cell>
          <cell r="K586">
            <v>4.99</v>
          </cell>
          <cell r="L586">
            <v>5.58</v>
          </cell>
          <cell r="M586">
            <v>6.26</v>
          </cell>
          <cell r="N586">
            <v>7.02</v>
          </cell>
          <cell r="O586">
            <v>7.75</v>
          </cell>
          <cell r="P586">
            <v>7.94</v>
          </cell>
          <cell r="Q586">
            <v>8.07</v>
          </cell>
        </row>
        <row r="587">
          <cell r="A587" t="str">
            <v>10/30/92</v>
          </cell>
          <cell r="C587">
            <v>2.7</v>
          </cell>
          <cell r="D587">
            <v>3.19</v>
          </cell>
          <cell r="E587">
            <v>3.34</v>
          </cell>
          <cell r="F587">
            <v>3.57</v>
          </cell>
          <cell r="G587">
            <v>3.69</v>
          </cell>
          <cell r="H587">
            <v>4.16</v>
          </cell>
          <cell r="I587">
            <v>4.4000000000000004</v>
          </cell>
          <cell r="J587">
            <v>5.22</v>
          </cell>
          <cell r="K587">
            <v>5.63</v>
          </cell>
          <cell r="L587">
            <v>6.16</v>
          </cell>
          <cell r="M587">
            <v>6.76</v>
          </cell>
          <cell r="N587">
            <v>7.38</v>
          </cell>
          <cell r="O587">
            <v>7.95</v>
          </cell>
          <cell r="P587">
            <v>8.11</v>
          </cell>
          <cell r="Q587">
            <v>8.23</v>
          </cell>
        </row>
        <row r="588">
          <cell r="A588" t="str">
            <v>11/30/92</v>
          </cell>
          <cell r="C588">
            <v>2.75</v>
          </cell>
          <cell r="D588">
            <v>3.35</v>
          </cell>
          <cell r="E588">
            <v>3.58</v>
          </cell>
          <cell r="F588">
            <v>3.83</v>
          </cell>
          <cell r="G588">
            <v>3.95</v>
          </cell>
          <cell r="H588">
            <v>4.54</v>
          </cell>
          <cell r="I588">
            <v>4.83</v>
          </cell>
          <cell r="J588">
            <v>5.64</v>
          </cell>
          <cell r="K588">
            <v>6.04</v>
          </cell>
          <cell r="L588">
            <v>6.45</v>
          </cell>
          <cell r="M588">
            <v>6.91</v>
          </cell>
          <cell r="N588">
            <v>7.43</v>
          </cell>
          <cell r="O588">
            <v>7.94</v>
          </cell>
          <cell r="P588">
            <v>8.02</v>
          </cell>
          <cell r="Q588">
            <v>8.0500000000000007</v>
          </cell>
        </row>
        <row r="589">
          <cell r="A589" t="str">
            <v>12/31/92</v>
          </cell>
          <cell r="C589">
            <v>2.88</v>
          </cell>
          <cell r="D589">
            <v>3.27</v>
          </cell>
          <cell r="E589">
            <v>3.41</v>
          </cell>
          <cell r="F589">
            <v>3.6</v>
          </cell>
          <cell r="G589">
            <v>3.69</v>
          </cell>
          <cell r="H589">
            <v>4.24</v>
          </cell>
          <cell r="I589">
            <v>4.5199999999999996</v>
          </cell>
          <cell r="J589">
            <v>5.39</v>
          </cell>
          <cell r="K589">
            <v>5.82</v>
          </cell>
          <cell r="L589">
            <v>6.23</v>
          </cell>
          <cell r="M589">
            <v>6.69</v>
          </cell>
          <cell r="N589">
            <v>7.22</v>
          </cell>
          <cell r="O589">
            <v>7.73</v>
          </cell>
          <cell r="P589">
            <v>7.82</v>
          </cell>
          <cell r="Q589">
            <v>7.86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rion 12.4.1."/>
      <sheetName val="Cholesky Decompose"/>
    </sheetNames>
    <sheetDataSet>
      <sheetData sheetId="0">
        <row r="3">
          <cell r="D3">
            <v>0.75</v>
          </cell>
        </row>
      </sheetData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rion 12.4.1._correlated_norma"/>
      <sheetName val="Cholesky Decompose"/>
      <sheetName val="Sheet1"/>
      <sheetName val="TOC"/>
      <sheetName val="QA4-bivar PMF (trinomial)"/>
      <sheetName val="QA4-prob-matrix-YT-20171204"/>
      <sheetName val="QA4-Covariance (BitCoin &amp; Gold)"/>
      <sheetName val="QA4-covariance-bitcoin&amp;gold-ex2"/>
      <sheetName val="QA4-2asset-MinVarPort"/>
      <sheetName val="20.8.1"/>
      <sheetName val="20.8.2"/>
      <sheetName val="20.8.3"/>
      <sheetName val="20.8.3 (2)"/>
      <sheetName val="QA4-matrix1"/>
      <sheetName val="QA4-matrix2"/>
      <sheetName val="QA4-PMatrix (vGARP)"/>
      <sheetName val="QA5- variances-pop"/>
      <sheetName val="QA5- variances-sample"/>
      <sheetName val="QA5-10d-sample-vol"/>
      <sheetName val="QA5-kurt-skew"/>
      <sheetName val="QA5-Variancee (YT 121117)"/>
      <sheetName val="QA5-Skew (yt-121317)"/>
      <sheetName val="QA5-kurtosis-(yt-121817+Sim)"/>
      <sheetName val="QA5-BLUE mean"/>
      <sheetName val="QA5-covar-122017-yt"/>
      <sheetName val="QA6-HypoTest-Miller-EOC_#1"/>
      <sheetName val="QA6-HypoTest-Miller-EOC_#2"/>
      <sheetName val="QA6-Z_lookup"/>
      <sheetName val="QA6-t_lookup"/>
      <sheetName val="QA6-bt_209.1_defaults"/>
      <sheetName val="QA6-BT_209.2_returns"/>
      <sheetName val="QA6-BT_209.3_Poisson"/>
      <sheetName val="QA6-diagram_Type1_vs_Type2"/>
      <sheetName val="QA6-T1 error (YT-0312)"/>
      <sheetName val="QA6-T2 error (YT-0312)"/>
      <sheetName val="QA6-CI_BT-SN"/>
      <sheetName val="QA6-CI_GARP"/>
      <sheetName val="QA6-p-value (gujarati PE)"/>
      <sheetName val="QA6-p-value (YT-0305)"/>
      <sheetName val="QA6-chi^2 (sample variance)"/>
      <sheetName val="QA6-F-dist SATs (compare vars)"/>
      <sheetName val="QA6-Chebyshev's"/>
      <sheetName val="QA6-Diff_btwn_means"/>
      <sheetName val="QA6-Diff_btwn_means_v2"/>
      <sheetName val="arch"/>
      <sheetName val="Backtesting-VaR"/>
      <sheetName val="YT-010818-Miller-EOC-#2"/>
      <sheetName val="YT-011018-Variance-CI &amp; sig"/>
      <sheetName val="5.2 Sampling Distributions"/>
      <sheetName val="5.2 Sample Dist (Chi^2)"/>
      <sheetName val="5.2. Chi^2 Applied"/>
      <sheetName val="5.2 Sample Dists (F dist)"/>
      <sheetName val="5.3. Student's T applied"/>
      <sheetName val="5.3. Normal Applied"/>
      <sheetName val="8.2. Standard Normal pdf CD (2)"/>
      <sheetName val="122017-yt-covariance"/>
      <sheetName val="Miller EOC Prob 6"/>
      <sheetName val="Skew &amp; Kurt"/>
      <sheetName val="20.11"/>
      <sheetName val="1202-inverse-transform"/>
    </sheetNames>
    <sheetDataSet>
      <sheetData sheetId="0">
        <row r="3">
          <cell r="D3">
            <v>0.75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A1 Slide 4"/>
      <sheetName val="QA1 Slide 6"/>
      <sheetName val="QA1 Slide 7"/>
      <sheetName val="QA1 Slide 13 "/>
      <sheetName val="QA1 Slide 14 based on this"/>
      <sheetName val="QA1 Slide 17"/>
      <sheetName val="QA 1 Slide 19"/>
      <sheetName val="QA2 Slide 3"/>
      <sheetName val="QA2 Slide 4"/>
      <sheetName val="QA2 Slide 6a"/>
      <sheetName val="QA2 Slide 6b"/>
      <sheetName val="QA2 Slide 7a"/>
      <sheetName val="QA2 Slide 7b"/>
      <sheetName val="QA2 Slide 8a"/>
      <sheetName val="QA2 Slide 8b"/>
      <sheetName val="QA2 Slide 9 missing"/>
      <sheetName val="QA2 Slide 10"/>
      <sheetName val="QA2 Slide 11"/>
      <sheetName val="QA2 Slide 12 (needs work)"/>
      <sheetName val="QA2 Slide 15"/>
      <sheetName val="QA4 Slide 3"/>
      <sheetName val="QA4 Slide 4"/>
      <sheetName val="QA4 Slide 5"/>
      <sheetName val="QA4 Slide 8 part here, missing "/>
      <sheetName val="QA4 Slide 9"/>
      <sheetName val="QA4 Slide 11"/>
      <sheetName val="QA4 Slide 15"/>
      <sheetName val="QA4 Slide 18"/>
      <sheetName val="QA5 Slide 5"/>
      <sheetName val="QA5 Slide 6"/>
      <sheetName val="QA5 Slide 7"/>
      <sheetName val="QA5 Slide 14"/>
      <sheetName val="QA5 Slide 15"/>
      <sheetName val="QA5 Slide 16"/>
      <sheetName val="QA5 Slide 18"/>
      <sheetName val="QA6 Slide 8"/>
      <sheetName val="QA6 Slide 9"/>
      <sheetName val="QA6 Slide 11"/>
      <sheetName val="QA6 Slide 12"/>
      <sheetName val="QA6 Slide 14"/>
      <sheetName val="QA6 Slide 15"/>
      <sheetName val="QA6 Slide 16"/>
      <sheetName val="QA6 Slide 17"/>
      <sheetName val="QA6 Slide 18"/>
      <sheetName val="QA7 Slide 4"/>
      <sheetName val="QA7 Slide 9"/>
      <sheetName val="QA7 Slide 10"/>
      <sheetName val="QA7 Slide 11"/>
      <sheetName val="QA7 Slide 12"/>
      <sheetName val="QA7 Slide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8">
          <cell r="F8">
            <v>0.2</v>
          </cell>
          <cell r="L8">
            <v>1</v>
          </cell>
        </row>
        <row r="9">
          <cell r="F9">
            <v>2.5</v>
          </cell>
          <cell r="L9">
            <v>2</v>
          </cell>
        </row>
        <row r="10">
          <cell r="F10">
            <v>2.6</v>
          </cell>
          <cell r="L10">
            <v>3</v>
          </cell>
        </row>
        <row r="11">
          <cell r="F11">
            <v>2.7</v>
          </cell>
          <cell r="L11">
            <v>4</v>
          </cell>
        </row>
        <row r="12">
          <cell r="F12">
            <v>3.1</v>
          </cell>
          <cell r="L12">
            <v>5</v>
          </cell>
        </row>
        <row r="13">
          <cell r="F13">
            <v>3.2</v>
          </cell>
          <cell r="L13">
            <v>6</v>
          </cell>
        </row>
        <row r="14">
          <cell r="F14">
            <v>3.6</v>
          </cell>
          <cell r="L14">
            <v>7</v>
          </cell>
        </row>
        <row r="15">
          <cell r="F15">
            <v>3.7</v>
          </cell>
          <cell r="L15">
            <v>8</v>
          </cell>
        </row>
        <row r="16">
          <cell r="F16">
            <v>4.2</v>
          </cell>
          <cell r="L16">
            <v>9</v>
          </cell>
        </row>
        <row r="17">
          <cell r="F17">
            <v>6</v>
          </cell>
          <cell r="L17">
            <v>10</v>
          </cell>
        </row>
        <row r="18">
          <cell r="F18">
            <v>6.4</v>
          </cell>
          <cell r="L18">
            <v>11</v>
          </cell>
        </row>
        <row r="19">
          <cell r="F19">
            <v>7.7</v>
          </cell>
          <cell r="L19">
            <v>12</v>
          </cell>
        </row>
        <row r="20">
          <cell r="L20">
            <v>13</v>
          </cell>
        </row>
        <row r="21">
          <cell r="L21">
            <v>14</v>
          </cell>
        </row>
        <row r="22">
          <cell r="L22">
            <v>15</v>
          </cell>
        </row>
        <row r="23">
          <cell r="L23">
            <v>16</v>
          </cell>
        </row>
        <row r="24">
          <cell r="F24">
            <v>2.5</v>
          </cell>
          <cell r="L24">
            <v>17</v>
          </cell>
        </row>
        <row r="25">
          <cell r="F25">
            <v>2.6</v>
          </cell>
          <cell r="L25">
            <v>18</v>
          </cell>
        </row>
        <row r="26">
          <cell r="F26">
            <v>2.7</v>
          </cell>
          <cell r="L26">
            <v>19</v>
          </cell>
        </row>
        <row r="27">
          <cell r="F27">
            <v>3.1</v>
          </cell>
          <cell r="L27">
            <v>20</v>
          </cell>
        </row>
        <row r="28">
          <cell r="F28">
            <v>3.2</v>
          </cell>
          <cell r="L28">
            <v>21</v>
          </cell>
        </row>
        <row r="29">
          <cell r="F29">
            <v>3.6</v>
          </cell>
          <cell r="L29">
            <v>22</v>
          </cell>
        </row>
        <row r="30">
          <cell r="F30">
            <v>3.7</v>
          </cell>
          <cell r="L30">
            <v>23</v>
          </cell>
        </row>
        <row r="31">
          <cell r="F31">
            <v>4.2</v>
          </cell>
          <cell r="L31">
            <v>24</v>
          </cell>
        </row>
        <row r="32">
          <cell r="F32">
            <v>6</v>
          </cell>
          <cell r="L32">
            <v>25</v>
          </cell>
        </row>
        <row r="33">
          <cell r="F33">
            <v>7.7</v>
          </cell>
          <cell r="L33">
            <v>26</v>
          </cell>
        </row>
        <row r="34">
          <cell r="L34">
            <v>27</v>
          </cell>
        </row>
        <row r="35">
          <cell r="L35">
            <v>28</v>
          </cell>
        </row>
        <row r="36">
          <cell r="L36">
            <v>29</v>
          </cell>
        </row>
        <row r="37">
          <cell r="L37">
            <v>30</v>
          </cell>
        </row>
        <row r="38">
          <cell r="L38">
            <v>31</v>
          </cell>
        </row>
        <row r="39">
          <cell r="L39">
            <v>32</v>
          </cell>
        </row>
        <row r="40">
          <cell r="L40">
            <v>33</v>
          </cell>
        </row>
        <row r="41">
          <cell r="L41">
            <v>34</v>
          </cell>
        </row>
        <row r="42">
          <cell r="L42">
            <v>35</v>
          </cell>
        </row>
        <row r="43">
          <cell r="L43">
            <v>36</v>
          </cell>
        </row>
        <row r="44">
          <cell r="L44">
            <v>37</v>
          </cell>
        </row>
        <row r="45">
          <cell r="L45">
            <v>38</v>
          </cell>
        </row>
        <row r="46">
          <cell r="L46">
            <v>39</v>
          </cell>
        </row>
        <row r="47">
          <cell r="L47">
            <v>40</v>
          </cell>
        </row>
        <row r="48">
          <cell r="L48">
            <v>41</v>
          </cell>
        </row>
        <row r="49">
          <cell r="L49">
            <v>42</v>
          </cell>
        </row>
        <row r="50">
          <cell r="L50">
            <v>43</v>
          </cell>
        </row>
        <row r="51">
          <cell r="L51">
            <v>44</v>
          </cell>
        </row>
        <row r="52">
          <cell r="L52">
            <v>45</v>
          </cell>
        </row>
        <row r="53">
          <cell r="L53">
            <v>46</v>
          </cell>
        </row>
        <row r="54">
          <cell r="L54">
            <v>47</v>
          </cell>
        </row>
        <row r="55">
          <cell r="L55">
            <v>48</v>
          </cell>
        </row>
        <row r="56">
          <cell r="L56">
            <v>49</v>
          </cell>
        </row>
        <row r="57">
          <cell r="L57">
            <v>50</v>
          </cell>
        </row>
        <row r="58">
          <cell r="L58">
            <v>51</v>
          </cell>
        </row>
        <row r="59">
          <cell r="L59">
            <v>52</v>
          </cell>
        </row>
        <row r="60">
          <cell r="L60">
            <v>53</v>
          </cell>
        </row>
        <row r="61">
          <cell r="L61">
            <v>54</v>
          </cell>
        </row>
        <row r="62">
          <cell r="L62">
            <v>55</v>
          </cell>
        </row>
        <row r="63">
          <cell r="L63">
            <v>56</v>
          </cell>
        </row>
        <row r="64">
          <cell r="L64">
            <v>57</v>
          </cell>
        </row>
        <row r="65">
          <cell r="L65">
            <v>58</v>
          </cell>
        </row>
        <row r="66">
          <cell r="L66">
            <v>59</v>
          </cell>
        </row>
        <row r="67">
          <cell r="L67">
            <v>60</v>
          </cell>
        </row>
        <row r="68">
          <cell r="L68">
            <v>61</v>
          </cell>
        </row>
        <row r="69">
          <cell r="L69">
            <v>62</v>
          </cell>
        </row>
        <row r="70">
          <cell r="L70">
            <v>63</v>
          </cell>
        </row>
        <row r="71">
          <cell r="L71">
            <v>64</v>
          </cell>
        </row>
        <row r="72">
          <cell r="L72">
            <v>65</v>
          </cell>
        </row>
        <row r="73">
          <cell r="L73">
            <v>66</v>
          </cell>
        </row>
        <row r="74">
          <cell r="L74">
            <v>67</v>
          </cell>
        </row>
        <row r="75">
          <cell r="L75">
            <v>68</v>
          </cell>
        </row>
        <row r="76">
          <cell r="L76">
            <v>69</v>
          </cell>
        </row>
        <row r="77">
          <cell r="L77">
            <v>70</v>
          </cell>
        </row>
        <row r="78">
          <cell r="L78">
            <v>71</v>
          </cell>
        </row>
        <row r="79">
          <cell r="L79">
            <v>72</v>
          </cell>
        </row>
        <row r="80">
          <cell r="L80">
            <v>73</v>
          </cell>
        </row>
        <row r="81">
          <cell r="L81">
            <v>74</v>
          </cell>
        </row>
        <row r="82">
          <cell r="L82">
            <v>75</v>
          </cell>
        </row>
        <row r="83">
          <cell r="L83">
            <v>76</v>
          </cell>
        </row>
        <row r="84">
          <cell r="L84">
            <v>77</v>
          </cell>
        </row>
        <row r="85">
          <cell r="L85">
            <v>78</v>
          </cell>
        </row>
        <row r="86">
          <cell r="L86">
            <v>79</v>
          </cell>
        </row>
        <row r="87">
          <cell r="L87">
            <v>80</v>
          </cell>
        </row>
        <row r="88">
          <cell r="L88">
            <v>81</v>
          </cell>
        </row>
        <row r="89">
          <cell r="L89">
            <v>82</v>
          </cell>
        </row>
        <row r="90">
          <cell r="L90">
            <v>83</v>
          </cell>
        </row>
        <row r="91">
          <cell r="L91">
            <v>84</v>
          </cell>
        </row>
        <row r="92">
          <cell r="L92">
            <v>85</v>
          </cell>
        </row>
        <row r="93">
          <cell r="L93">
            <v>86</v>
          </cell>
        </row>
        <row r="94">
          <cell r="L94">
            <v>87</v>
          </cell>
        </row>
        <row r="95">
          <cell r="L95">
            <v>88</v>
          </cell>
        </row>
        <row r="96">
          <cell r="L96">
            <v>89</v>
          </cell>
        </row>
        <row r="97">
          <cell r="L97">
            <v>90</v>
          </cell>
        </row>
        <row r="98">
          <cell r="L98">
            <v>91</v>
          </cell>
        </row>
        <row r="99">
          <cell r="L99">
            <v>92</v>
          </cell>
        </row>
        <row r="100">
          <cell r="L100">
            <v>93</v>
          </cell>
        </row>
        <row r="101">
          <cell r="L101">
            <v>94</v>
          </cell>
        </row>
        <row r="102">
          <cell r="L102">
            <v>95</v>
          </cell>
        </row>
        <row r="103">
          <cell r="L103">
            <v>96</v>
          </cell>
        </row>
        <row r="104">
          <cell r="L104">
            <v>97</v>
          </cell>
        </row>
        <row r="105">
          <cell r="L105">
            <v>98</v>
          </cell>
        </row>
        <row r="106">
          <cell r="L106">
            <v>99</v>
          </cell>
        </row>
        <row r="107">
          <cell r="L107">
            <v>100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QA1-Empirical"/>
      <sheetName val="QA1-Prob Matrix"/>
      <sheetName val="QA1-Prob Matrix (Video)"/>
      <sheetName val="GARP-conditional-independence"/>
      <sheetName val="GARP-conditional-independen_v2"/>
      <sheetName val="QA1-Bayes1-2Bonds"/>
      <sheetName val="QA1-Bayes2-Disease-M#1"/>
      <sheetName val="QA1-Bayes2-Davids-Trans_Fraud"/>
      <sheetName val="QA1-Bayes3-Star-M#2"/>
      <sheetName val="QA1-Bayes4-GARP11-p1-05"/>
      <sheetName val="QA1-Bayes5-GARP_2nd"/>
      <sheetName val="QA1-Bayes6-3States-Miller"/>
      <sheetName val="QA1-Bayes7-ManyStates-6yrs-M#"/>
      <sheetName val="QA2-pdf_CDF"/>
      <sheetName val="QA2-YT-pdf-CFD_inverseCDF"/>
      <sheetName val="QA2-6sided-die-moments"/>
      <sheetName val="QA2-kurt-skew_2020SN"/>
      <sheetName val="QA3-binomial"/>
      <sheetName val="QA3-binomial-tree"/>
      <sheetName val="QA3-Poisson"/>
      <sheetName val="QA3-normal_"/>
      <sheetName val="QA3-lognormal"/>
      <sheetName val="QA3-chi^2"/>
      <sheetName val="QA3-students-t"/>
      <sheetName val="QA3-F-distr"/>
      <sheetName val="QA3-triangular"/>
      <sheetName val="QA3-beta"/>
      <sheetName val="QA3-normal-mixture"/>
      <sheetName val="QA3-Normal_binomial_Poisson"/>
      <sheetName val="ARCH"/>
      <sheetName val="QA2-pdfCDF-inverse_arch"/>
      <sheetName val="QA2-YT-pdf-CFD (video)_arch"/>
      <sheetName val="406.1_chi-square"/>
      <sheetName val="chi^s lookuptable"/>
      <sheetName val="2a.3 SampleDists (chi^2) (2)"/>
      <sheetName val="2c.1 Rachev Poisson_Exponential"/>
      <sheetName val="405.3_f_lookup"/>
      <sheetName val="pdf_CDF"/>
      <sheetName val="8.3 Variables (2)"/>
      <sheetName val="covariance-#2"/>
      <sheetName val="Covariance_prior_approach"/>
      <sheetName val="Miller EOC Prob 7"/>
      <sheetName val="308.1"/>
      <sheetName val="Skew &amp; Kurt-1st version"/>
      <sheetName val="Miller Prob 7"/>
      <sheetName val="Sheet1 (2)"/>
      <sheetName val="8.3 Variables"/>
      <sheetName val="8.3 Minimum Variance"/>
      <sheetName val="8.3 SkewKurt (GOOG)"/>
      <sheetName val="8.3 SkewKurt (BT PQ 308.1)"/>
      <sheetName val="M. SkewKurt (M=Miller)"/>
      <sheetName val="M. Coskew&amp;Cokurt"/>
      <sheetName val="coskew_cokurt (6 sided die)"/>
      <sheetName val="4a.1 CoVaR matrix"/>
      <sheetName val="coskew_cokurt_version1"/>
      <sheetName val="coskew_cokurt"/>
      <sheetName val="Coskewness_corrected"/>
      <sheetName val="Coskewness_original"/>
      <sheetName val="Sheet5"/>
      <sheetName val="Coskewness"/>
      <sheetName val="YT 1129 FRM T2-1"/>
      <sheetName val="YT 1202-inverse-transform T2-2"/>
      <sheetName val="YT 1202-inverse-trans T2-2-b"/>
      <sheetName val="YT-1202-inverse-transform"/>
      <sheetName val="YT-1204-prob-matrix"/>
      <sheetName val="YT-120617-independence"/>
      <sheetName val="pdf_CDF_source"/>
      <sheetName val="8.2. Standard Normal pdf CDF"/>
      <sheetName val="8.2 Discrete Probabilities"/>
      <sheetName val="8.2 Probability Matrix"/>
      <sheetName val="interpolate"/>
      <sheetName val="arch (3)"/>
      <sheetName val="YT-122517-bayes"/>
      <sheetName val="YT-Star-Manager"/>
      <sheetName val="YT#1-Disease-Sample"/>
      <sheetName val="YT#2-Star-Mgr"/>
      <sheetName val="YT#3-Many-States"/>
      <sheetName val="YT-Miller-Sam-Prob#3-3_St_2"/>
      <sheetName val="disease-edit-wip"/>
      <sheetName val="500.3"/>
      <sheetName val="Sheet1 (5)"/>
      <sheetName val="8.2 Discrete Probabilities (2)"/>
      <sheetName val="8.2 Probability Matrix (2)"/>
      <sheetName val="8.2 Bayes Theorem p37-38 (2)"/>
      <sheetName val="8.2. Bayes Theorem p41 (2)"/>
      <sheetName val="8.2 Bayes Theorem  p43 (2)"/>
      <sheetName val="302.1"/>
      <sheetName val="302.2"/>
      <sheetName val="302.3"/>
      <sheetName val="302.2 (2)"/>
      <sheetName val="302.2A"/>
      <sheetName val="T2.305.1 (2)"/>
      <sheetName val="T2.305.1"/>
      <sheetName val="302.3 (2)"/>
      <sheetName val="304.1"/>
      <sheetName val="307.3"/>
      <sheetName val="318.3"/>
      <sheetName val="318.2"/>
      <sheetName val="308.1.co-skew, co-kurt"/>
      <sheetName val="319.2 (2)"/>
      <sheetName val="319.1"/>
      <sheetName val="319.2"/>
      <sheetName val="500.2 (2)"/>
      <sheetName val="500.2"/>
      <sheetName val="500.2 (alt accuracy"/>
      <sheetName val="500.3 (2)"/>
      <sheetName val="501.1"/>
      <sheetName val="501.1 (2)"/>
      <sheetName val="501.2"/>
      <sheetName val="501.3"/>
      <sheetName val="501.3 - miller 4"/>
      <sheetName val="709.1 (2)"/>
      <sheetName val="709.1"/>
      <sheetName val="709.2"/>
      <sheetName val="709.3"/>
      <sheetName val="BT T2.717.1"/>
      <sheetName val="BT T2.717.2"/>
      <sheetName val="BT T2.717"/>
      <sheetName val="T2-719-1"/>
      <sheetName val="T2-719-2"/>
      <sheetName val="T2-719-3"/>
      <sheetName val="T2-719-3b"/>
      <sheetName val="710.1"/>
      <sheetName val="710.2"/>
      <sheetName val="710.3"/>
      <sheetName val="711.1"/>
      <sheetName val="711.2"/>
      <sheetName val="711.3"/>
      <sheetName val="712-1-skew"/>
      <sheetName val="kurtosis-yt-121817"/>
      <sheetName val="arch_Bayes p37-38"/>
      <sheetName val="YT-2-inv_trans"/>
      <sheetName val="YT-4-ind"/>
      <sheetName val="YT-variance (discrete)"/>
      <sheetName val="2a.2 bivariatePDF"/>
      <sheetName val="Exercise 9"/>
      <sheetName val="Exercise 9 (2)"/>
      <sheetName val="EX_I.6.6"/>
      <sheetName val="QA4-ProbMatrix_YT-120617"/>
      <sheetName val="QA2-pdfCDF-inverse_2"/>
      <sheetName val="309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0">
          <cell r="D10" t="str">
            <v>pdf</v>
          </cell>
          <cell r="E10" t="str">
            <v>CDF</v>
          </cell>
        </row>
        <row r="11">
          <cell r="D11">
            <v>8.7641502467842702E-3</v>
          </cell>
          <cell r="E11">
            <v>6.2096653257761331E-3</v>
          </cell>
        </row>
        <row r="12">
          <cell r="D12">
            <v>1.5869825917833709E-2</v>
          </cell>
          <cell r="E12">
            <v>1.2224472655044696E-2</v>
          </cell>
        </row>
        <row r="13">
          <cell r="C13">
            <v>-3</v>
          </cell>
          <cell r="D13">
            <v>2.6995483256594031E-2</v>
          </cell>
          <cell r="E13">
            <v>2.2750131948179191E-2</v>
          </cell>
        </row>
        <row r="14">
          <cell r="C14">
            <v>-2.5</v>
          </cell>
          <cell r="D14">
            <v>4.3138659413255766E-2</v>
          </cell>
          <cell r="E14">
            <v>4.00591568638171E-2</v>
          </cell>
        </row>
        <row r="15">
          <cell r="C15">
            <v>-2</v>
          </cell>
          <cell r="D15">
            <v>6.4758797832945872E-2</v>
          </cell>
          <cell r="E15">
            <v>6.6807201268858057E-2</v>
          </cell>
        </row>
        <row r="16">
          <cell r="C16">
            <v>-1.5</v>
          </cell>
          <cell r="D16">
            <v>9.1324542694510957E-2</v>
          </cell>
          <cell r="E16">
            <v>0.10564977366685525</v>
          </cell>
        </row>
        <row r="17">
          <cell r="C17">
            <v>-1</v>
          </cell>
          <cell r="D17">
            <v>0.12098536225957168</v>
          </cell>
          <cell r="E17">
            <v>0.15865525393145699</v>
          </cell>
        </row>
        <row r="18">
          <cell r="C18">
            <v>-0.5</v>
          </cell>
          <cell r="D18">
            <v>0.15056871607740221</v>
          </cell>
          <cell r="E18">
            <v>0.22662735237686821</v>
          </cell>
        </row>
        <row r="19">
          <cell r="C19">
            <v>0</v>
          </cell>
          <cell r="D19">
            <v>0.17603266338214976</v>
          </cell>
          <cell r="E19">
            <v>0.30853753872598688</v>
          </cell>
        </row>
        <row r="20">
          <cell r="C20">
            <v>0.5</v>
          </cell>
          <cell r="D20">
            <v>0.19333405840142462</v>
          </cell>
          <cell r="E20">
            <v>0.4012936743170763</v>
          </cell>
        </row>
        <row r="21">
          <cell r="C21">
            <v>1</v>
          </cell>
          <cell r="D21">
            <v>0.19947114020071635</v>
          </cell>
          <cell r="E21">
            <v>0.5</v>
          </cell>
        </row>
        <row r="22">
          <cell r="C22">
            <v>1.5</v>
          </cell>
          <cell r="D22">
            <v>0.19333405840142462</v>
          </cell>
          <cell r="E22">
            <v>0.5987063256829237</v>
          </cell>
        </row>
        <row r="23">
          <cell r="C23">
            <v>2</v>
          </cell>
          <cell r="D23">
            <v>0.17603266338214976</v>
          </cell>
          <cell r="E23">
            <v>0.69146246127401312</v>
          </cell>
        </row>
        <row r="24">
          <cell r="C24">
            <v>2.5</v>
          </cell>
          <cell r="D24">
            <v>0.15056871607740221</v>
          </cell>
          <cell r="E24">
            <v>0.77337264762313174</v>
          </cell>
        </row>
        <row r="25">
          <cell r="C25">
            <v>3</v>
          </cell>
          <cell r="D25">
            <v>0.12098536225957168</v>
          </cell>
          <cell r="E25">
            <v>0.84134474606854304</v>
          </cell>
        </row>
        <row r="26">
          <cell r="D26">
            <v>9.1324542694510957E-2</v>
          </cell>
          <cell r="E26">
            <v>0.89435022633314476</v>
          </cell>
        </row>
        <row r="27">
          <cell r="D27">
            <v>6.4758797832945872E-2</v>
          </cell>
          <cell r="E27">
            <v>0.93319279873114191</v>
          </cell>
        </row>
        <row r="29">
          <cell r="C29">
            <v>1.5066942062715996</v>
          </cell>
          <cell r="D29">
            <v>0</v>
          </cell>
        </row>
        <row r="30">
          <cell r="C30">
            <v>1.5066942062715996</v>
          </cell>
          <cell r="D30">
            <v>0.19317126674843024</v>
          </cell>
        </row>
        <row r="39">
          <cell r="D39" t="str">
            <v>pmf</v>
          </cell>
          <cell r="E39" t="str">
            <v>CDF</v>
          </cell>
        </row>
        <row r="40">
          <cell r="C40">
            <v>0</v>
          </cell>
          <cell r="D40">
            <v>4.9787068367863944E-2</v>
          </cell>
          <cell r="E40">
            <v>4.9787068367863944E-2</v>
          </cell>
        </row>
        <row r="41">
          <cell r="C41">
            <v>1</v>
          </cell>
          <cell r="D41">
            <v>0.14936120510359185</v>
          </cell>
          <cell r="E41">
            <v>0.19914827347145578</v>
          </cell>
        </row>
        <row r="42">
          <cell r="C42">
            <v>2</v>
          </cell>
          <cell r="D42">
            <v>0.22404180765538775</v>
          </cell>
          <cell r="E42">
            <v>0.42319008112684342</v>
          </cell>
        </row>
        <row r="43">
          <cell r="C43">
            <v>3</v>
          </cell>
          <cell r="D43">
            <v>0.22404180765538778</v>
          </cell>
          <cell r="E43">
            <v>0.64723188878223126</v>
          </cell>
        </row>
        <row r="44">
          <cell r="C44">
            <v>4</v>
          </cell>
          <cell r="D44">
            <v>0.16803135574154085</v>
          </cell>
          <cell r="E44">
            <v>0.81526324452377208</v>
          </cell>
        </row>
        <row r="45">
          <cell r="C45">
            <v>5</v>
          </cell>
          <cell r="D45">
            <v>0.10081881344492449</v>
          </cell>
          <cell r="E45">
            <v>0.91608205796869657</v>
          </cell>
        </row>
        <row r="46">
          <cell r="C46">
            <v>6</v>
          </cell>
          <cell r="D46">
            <v>5.0409406722462261E-2</v>
          </cell>
          <cell r="E46">
            <v>0.96649146469115887</v>
          </cell>
        </row>
        <row r="47">
          <cell r="C47">
            <v>7</v>
          </cell>
          <cell r="D47">
            <v>2.1604031452483807E-2</v>
          </cell>
          <cell r="E47">
            <v>0.98809549614364256</v>
          </cell>
        </row>
        <row r="48">
          <cell r="C48">
            <v>8</v>
          </cell>
          <cell r="D48">
            <v>8.1015117946814375E-3</v>
          </cell>
          <cell r="E48">
            <v>0.996197007938324</v>
          </cell>
        </row>
        <row r="49">
          <cell r="C49">
            <v>9</v>
          </cell>
          <cell r="D49">
            <v>2.7005039315604771E-3</v>
          </cell>
          <cell r="E49">
            <v>0.99889751186988451</v>
          </cell>
        </row>
        <row r="50">
          <cell r="C50">
            <v>10</v>
          </cell>
          <cell r="D50">
            <v>8.1015117946814244E-4</v>
          </cell>
          <cell r="E50">
            <v>0.99970766304935266</v>
          </cell>
        </row>
        <row r="51">
          <cell r="C51">
            <v>11</v>
          </cell>
          <cell r="D51">
            <v>2.2095032167312987E-4</v>
          </cell>
          <cell r="E51">
            <v>0.99992861337102579</v>
          </cell>
        </row>
        <row r="52">
          <cell r="C52">
            <v>12</v>
          </cell>
          <cell r="D52">
            <v>5.5237580418282596E-5</v>
          </cell>
          <cell r="E52">
            <v>0.99998385095144404</v>
          </cell>
        </row>
        <row r="53">
          <cell r="C53">
            <v>13</v>
          </cell>
          <cell r="D53">
            <v>1.2747133942680586E-5</v>
          </cell>
          <cell r="E53">
            <v>0.99999659808538677</v>
          </cell>
        </row>
        <row r="54">
          <cell r="C54">
            <v>14</v>
          </cell>
          <cell r="D54">
            <v>2.7315287020029766E-6</v>
          </cell>
          <cell r="E54">
            <v>0.99999932961408877</v>
          </cell>
        </row>
        <row r="55">
          <cell r="C55">
            <v>15</v>
          </cell>
          <cell r="D55">
            <v>5.4630574040059675E-7</v>
          </cell>
          <cell r="E55">
            <v>0.9999998759198292</v>
          </cell>
        </row>
        <row r="78">
          <cell r="D78" t="str">
            <v>aX^2</v>
          </cell>
          <cell r="E78" t="str">
            <v>aX^3/3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0.25</v>
          </cell>
          <cell r="D80">
            <v>2.9296875E-3</v>
          </cell>
          <cell r="E80">
            <v>2.44140625E-4</v>
          </cell>
        </row>
        <row r="81">
          <cell r="C81">
            <v>0.5</v>
          </cell>
          <cell r="D81">
            <v>1.171875E-2</v>
          </cell>
          <cell r="E81">
            <v>1.953125E-3</v>
          </cell>
        </row>
        <row r="82">
          <cell r="C82">
            <v>0.75</v>
          </cell>
          <cell r="D82">
            <v>2.63671875E-2</v>
          </cell>
          <cell r="E82">
            <v>6.591796875E-3</v>
          </cell>
        </row>
        <row r="83">
          <cell r="C83">
            <v>1</v>
          </cell>
          <cell r="D83">
            <v>4.6875E-2</v>
          </cell>
          <cell r="E83">
            <v>1.5625E-2</v>
          </cell>
        </row>
        <row r="84">
          <cell r="C84">
            <v>1.25</v>
          </cell>
          <cell r="D84">
            <v>7.32421875E-2</v>
          </cell>
          <cell r="E84">
            <v>3.0517578125E-2</v>
          </cell>
        </row>
        <row r="85">
          <cell r="C85">
            <v>1.5</v>
          </cell>
          <cell r="D85">
            <v>0.10546875</v>
          </cell>
          <cell r="E85">
            <v>5.2734375E-2</v>
          </cell>
        </row>
        <row r="86">
          <cell r="C86">
            <v>1.75</v>
          </cell>
          <cell r="D86">
            <v>0.1435546875</v>
          </cell>
          <cell r="E86">
            <v>8.3740234375E-2</v>
          </cell>
        </row>
        <row r="87">
          <cell r="C87">
            <v>2</v>
          </cell>
          <cell r="D87">
            <v>0.1875</v>
          </cell>
          <cell r="E87">
            <v>0.125</v>
          </cell>
        </row>
        <row r="88">
          <cell r="C88">
            <v>2.25</v>
          </cell>
          <cell r="D88">
            <v>0.2373046875</v>
          </cell>
          <cell r="E88">
            <v>0.177978515625</v>
          </cell>
        </row>
        <row r="89">
          <cell r="C89">
            <v>2.5</v>
          </cell>
          <cell r="D89">
            <v>0.29296875</v>
          </cell>
          <cell r="E89">
            <v>0.244140625</v>
          </cell>
        </row>
        <row r="90">
          <cell r="C90">
            <v>2.75</v>
          </cell>
          <cell r="D90">
            <v>0.3544921875</v>
          </cell>
          <cell r="E90">
            <v>0.324951171875</v>
          </cell>
        </row>
        <row r="91">
          <cell r="C91">
            <v>3</v>
          </cell>
          <cell r="D91">
            <v>0.421875</v>
          </cell>
          <cell r="E91">
            <v>0.421875</v>
          </cell>
        </row>
        <row r="92">
          <cell r="C92">
            <v>3.25</v>
          </cell>
          <cell r="D92">
            <v>0.4951171875</v>
          </cell>
          <cell r="E92">
            <v>0.536376953125</v>
          </cell>
        </row>
        <row r="93">
          <cell r="C93">
            <v>3.5</v>
          </cell>
          <cell r="D93">
            <v>0.57421875</v>
          </cell>
          <cell r="E93">
            <v>0.669921875</v>
          </cell>
        </row>
        <row r="94">
          <cell r="C94">
            <v>3.75</v>
          </cell>
          <cell r="D94">
            <v>0.6591796875</v>
          </cell>
          <cell r="E94">
            <v>0.823974609375</v>
          </cell>
        </row>
        <row r="95">
          <cell r="C95">
            <v>4</v>
          </cell>
          <cell r="D95">
            <v>0.75</v>
          </cell>
          <cell r="E95">
            <v>1</v>
          </cell>
        </row>
        <row r="96">
          <cell r="C96">
            <v>4.25</v>
          </cell>
          <cell r="D96">
            <v>0.8466796875</v>
          </cell>
          <cell r="E96">
            <v>1.199462890625</v>
          </cell>
        </row>
        <row r="97">
          <cell r="C97">
            <v>4.5</v>
          </cell>
          <cell r="D97">
            <v>0.94921875</v>
          </cell>
          <cell r="E97">
            <v>1.423828125</v>
          </cell>
        </row>
        <row r="98">
          <cell r="C98">
            <v>4.75</v>
          </cell>
          <cell r="D98">
            <v>1.0576171875</v>
          </cell>
          <cell r="E98">
            <v>1.674560546875</v>
          </cell>
        </row>
        <row r="99">
          <cell r="C99">
            <v>5</v>
          </cell>
          <cell r="D99">
            <v>1.171875</v>
          </cell>
          <cell r="E99">
            <v>1.953125</v>
          </cell>
        </row>
        <row r="116">
          <cell r="C116">
            <v>2.9955900531367754</v>
          </cell>
          <cell r="D116">
            <v>0.42063561405243699</v>
          </cell>
          <cell r="E116">
            <v>0.42001728715018666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B1" t="str">
            <v>Continuous Density</v>
          </cell>
          <cell r="C1" t="str">
            <v>Continuous Distribution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>
            <v>1</v>
          </cell>
          <cell r="B3">
            <v>2.4535489222344204E-8</v>
          </cell>
          <cell r="C3">
            <v>2.6109547200660668E-9</v>
          </cell>
        </row>
        <row r="4">
          <cell r="A4">
            <v>2</v>
          </cell>
          <cell r="B4">
            <v>6.4496333775826938E-6</v>
          </cell>
          <cell r="C4">
            <v>1.4656221392412879E-6</v>
          </cell>
        </row>
        <row r="5">
          <cell r="A5">
            <v>3</v>
          </cell>
          <cell r="B5">
            <v>1.2729950216259868E-4</v>
          </cell>
          <cell r="C5">
            <v>4.6498075017263846E-5</v>
          </cell>
        </row>
        <row r="6">
          <cell r="A6">
            <v>4</v>
          </cell>
          <cell r="B6">
            <v>8.704537089159511E-4</v>
          </cell>
          <cell r="C6">
            <v>4.5608289115746479E-4</v>
          </cell>
        </row>
        <row r="7">
          <cell r="A7">
            <v>5</v>
          </cell>
          <cell r="B7">
            <v>3.329707946500639E-3</v>
          </cell>
          <cell r="C7">
            <v>2.3563754242865611E-3</v>
          </cell>
          <cell r="Q7">
            <v>8.0854237276580096E-4</v>
          </cell>
          <cell r="R7">
            <v>9.2484599075630738E-4</v>
          </cell>
        </row>
        <row r="8">
          <cell r="A8">
            <v>6</v>
          </cell>
          <cell r="B8">
            <v>8.8207944607001949E-3</v>
          </cell>
          <cell r="C8">
            <v>8.1322427969338622E-3</v>
          </cell>
          <cell r="Q8">
            <v>5.02747501014633E-3</v>
          </cell>
          <cell r="R8">
            <v>5.9523210009026373E-3</v>
          </cell>
        </row>
        <row r="9">
          <cell r="A9">
            <v>7</v>
          </cell>
          <cell r="B9">
            <v>1.8134231453449817E-2</v>
          </cell>
          <cell r="C9">
            <v>2.1285044984054955E-2</v>
          </cell>
          <cell r="Q9">
            <v>2.4082225974528092E-2</v>
          </cell>
          <cell r="R9">
            <v>3.0034546975430731E-2</v>
          </cell>
        </row>
        <row r="10">
          <cell r="A10">
            <v>8</v>
          </cell>
          <cell r="B10">
            <v>3.096684944648613E-2</v>
          </cell>
          <cell r="C10">
            <v>4.5586938894922227E-2</v>
          </cell>
          <cell r="Q10">
            <v>8.342771141175806E-2</v>
          </cell>
          <cell r="R10">
            <v>0.11346225838718879</v>
          </cell>
        </row>
        <row r="11">
          <cell r="A11">
            <v>9</v>
          </cell>
          <cell r="B11">
            <v>4.5892326013708594E-2</v>
          </cell>
          <cell r="C11">
            <v>8.3924016994875839E-2</v>
          </cell>
          <cell r="Q11">
            <v>0.18603420705610416</v>
          </cell>
          <cell r="R11">
            <v>0.29949646544329295</v>
          </cell>
        </row>
        <row r="12">
          <cell r="A12">
            <v>10</v>
          </cell>
          <cell r="B12">
            <v>6.0817397315459876E-2</v>
          </cell>
          <cell r="C12">
            <v>0.13737153273576747</v>
          </cell>
          <cell r="Q12">
            <v>0.20050353427157891</v>
          </cell>
          <cell r="R12">
            <v>0.49999999971487186</v>
          </cell>
        </row>
        <row r="13">
          <cell r="A13">
            <v>11</v>
          </cell>
          <cell r="B13">
            <v>7.3626192565267423E-2</v>
          </cell>
          <cell r="C13">
            <v>0.20484728416449902</v>
          </cell>
          <cell r="Q13">
            <v>0.20050353427157891</v>
          </cell>
          <cell r="R13">
            <v>0.70050353398645071</v>
          </cell>
        </row>
        <row r="14">
          <cell r="A14">
            <v>12</v>
          </cell>
          <cell r="B14">
            <v>8.2717944859613007E-2</v>
          </cell>
          <cell r="C14">
            <v>0.28337574127298903</v>
          </cell>
          <cell r="Q14">
            <v>0.18603420705610416</v>
          </cell>
          <cell r="R14">
            <v>0.88653774104255489</v>
          </cell>
        </row>
        <row r="15">
          <cell r="A15">
            <v>13</v>
          </cell>
          <cell r="B15">
            <v>8.7282873896791971E-2</v>
          </cell>
          <cell r="C15">
            <v>0.36876511376337268</v>
          </cell>
          <cell r="Q15">
            <v>8.342771141175806E-2</v>
          </cell>
          <cell r="R15">
            <v>0.96996545245431298</v>
          </cell>
        </row>
        <row r="16">
          <cell r="A16">
            <v>14</v>
          </cell>
          <cell r="B16">
            <v>8.7309506455453295E-2</v>
          </cell>
          <cell r="C16">
            <v>0.45642173259342217</v>
          </cell>
          <cell r="Q16">
            <v>2.4082225974528092E-2</v>
          </cell>
          <cell r="R16">
            <v>0.99404767842884112</v>
          </cell>
        </row>
        <row r="17">
          <cell r="A17">
            <v>15</v>
          </cell>
          <cell r="B17">
            <v>8.3406690480755524E-2</v>
          </cell>
          <cell r="C17">
            <v>0.54207028552814773</v>
          </cell>
          <cell r="Q17">
            <v>5.02747501014633E-3</v>
          </cell>
          <cell r="R17">
            <v>0.99907515343898745</v>
          </cell>
        </row>
        <row r="18">
          <cell r="A18">
            <v>16</v>
          </cell>
          <cell r="B18">
            <v>7.6547277104200603E-2</v>
          </cell>
          <cell r="C18">
            <v>0.62224837395442667</v>
          </cell>
        </row>
        <row r="19">
          <cell r="A19">
            <v>17</v>
          </cell>
          <cell r="B19">
            <v>6.7820430271393631E-2</v>
          </cell>
          <cell r="C19">
            <v>0.69454327041788666</v>
          </cell>
        </row>
        <row r="20">
          <cell r="A20">
            <v>18</v>
          </cell>
          <cell r="B20">
            <v>5.8242919935366289E-2</v>
          </cell>
          <cell r="C20">
            <v>0.75760783832948764</v>
          </cell>
        </row>
        <row r="21">
          <cell r="A21">
            <v>19</v>
          </cell>
          <cell r="B21">
            <v>4.8645575727826372E-2</v>
          </cell>
          <cell r="C21">
            <v>0.81102513553299405</v>
          </cell>
        </row>
        <row r="22">
          <cell r="A22">
            <v>20</v>
          </cell>
          <cell r="B22">
            <v>3.962791707298155E-2</v>
          </cell>
          <cell r="C22">
            <v>0.85509477552184698</v>
          </cell>
        </row>
        <row r="23">
          <cell r="A23">
            <v>21</v>
          </cell>
          <cell r="B23">
            <v>3.1562782494926535E-2</v>
          </cell>
          <cell r="C23">
            <v>0.890600630357261</v>
          </cell>
        </row>
        <row r="24">
          <cell r="A24">
            <v>22</v>
          </cell>
          <cell r="B24">
            <v>2.4630663029922364E-2</v>
          </cell>
          <cell r="C24">
            <v>0.91859962830350472</v>
          </cell>
        </row>
        <row r="25">
          <cell r="A25">
            <v>23</v>
          </cell>
          <cell r="B25">
            <v>1.8866565377597469E-2</v>
          </cell>
          <cell r="C25">
            <v>0.94025237792000804</v>
          </cell>
        </row>
        <row r="26">
          <cell r="A26">
            <v>24</v>
          </cell>
          <cell r="B26">
            <v>1.4207374928538042E-2</v>
          </cell>
          <cell r="C26">
            <v>0.95670168405813416</v>
          </cell>
        </row>
        <row r="27">
          <cell r="A27">
            <v>25</v>
          </cell>
          <cell r="B27">
            <v>1.0532781854473146E-2</v>
          </cell>
          <cell r="C27">
            <v>0.96899559859005846</v>
          </cell>
        </row>
        <row r="28">
          <cell r="A28">
            <v>26</v>
          </cell>
          <cell r="B28">
            <v>7.6968582543295444E-3</v>
          </cell>
          <cell r="C28">
            <v>0.97804683334194964</v>
          </cell>
        </row>
        <row r="29">
          <cell r="A29">
            <v>27</v>
          </cell>
          <cell r="B29">
            <v>5.5500587420638766E-3</v>
          </cell>
          <cell r="C29">
            <v>0.98461890273941077</v>
          </cell>
        </row>
        <row r="30">
          <cell r="A30">
            <v>28</v>
          </cell>
          <cell r="B30">
            <v>3.9529045694650074E-3</v>
          </cell>
          <cell r="C30">
            <v>0.98932996779992688</v>
          </cell>
        </row>
        <row r="31">
          <cell r="A31">
            <v>29</v>
          </cell>
          <cell r="B31">
            <v>2.7832125508919715E-3</v>
          </cell>
          <cell r="C31">
            <v>0.99266697360646439</v>
          </cell>
        </row>
        <row r="32">
          <cell r="A32">
            <v>30</v>
          </cell>
          <cell r="B32">
            <v>1.9387688394483784E-3</v>
          </cell>
          <cell r="C32">
            <v>0.99500458769169242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E3" t="str">
            <v>X</v>
          </cell>
          <cell r="F3" t="str">
            <v>pdf</v>
          </cell>
          <cell r="G3" t="str">
            <v>CDF</v>
          </cell>
        </row>
        <row r="4">
          <cell r="E4">
            <v>-4</v>
          </cell>
          <cell r="F4">
            <v>1.3383022576488537E-4</v>
          </cell>
          <cell r="G4">
            <v>3.1671241833119857E-5</v>
          </cell>
        </row>
        <row r="5">
          <cell r="E5">
            <v>-3.5</v>
          </cell>
          <cell r="F5">
            <v>8.7268269504576015E-4</v>
          </cell>
          <cell r="G5">
            <v>2.3262907903552504E-4</v>
          </cell>
        </row>
        <row r="6">
          <cell r="E6">
            <v>-3</v>
          </cell>
          <cell r="F6">
            <v>4.4318484119380075E-3</v>
          </cell>
          <cell r="G6">
            <v>1.3498980316300933E-3</v>
          </cell>
        </row>
        <row r="7">
          <cell r="E7">
            <v>-2.5</v>
          </cell>
          <cell r="F7">
            <v>1.752830049356854E-2</v>
          </cell>
          <cell r="G7">
            <v>6.2096653257761331E-3</v>
          </cell>
        </row>
        <row r="8">
          <cell r="E8">
            <v>-2.3260000000000001</v>
          </cell>
          <cell r="F8">
            <v>2.6673718259423804E-2</v>
          </cell>
          <cell r="G8">
            <v>1.0009275340867664E-2</v>
          </cell>
        </row>
        <row r="9">
          <cell r="E9">
            <v>-2</v>
          </cell>
          <cell r="F9">
            <v>5.3990966513188063E-2</v>
          </cell>
          <cell r="G9">
            <v>2.2750131948179191E-2</v>
          </cell>
        </row>
        <row r="10">
          <cell r="E10">
            <v>-1.645</v>
          </cell>
          <cell r="F10">
            <v>0.10311081109198142</v>
          </cell>
          <cell r="G10">
            <v>4.9984905539121376E-2</v>
          </cell>
        </row>
        <row r="11">
          <cell r="E11">
            <v>-1.5</v>
          </cell>
          <cell r="F11">
            <v>0.12951759566589174</v>
          </cell>
          <cell r="G11">
            <v>6.6807201268858057E-2</v>
          </cell>
        </row>
        <row r="12">
          <cell r="E12">
            <v>-1</v>
          </cell>
          <cell r="F12">
            <v>0.24197072451914337</v>
          </cell>
          <cell r="G12">
            <v>0.15865525393145699</v>
          </cell>
        </row>
        <row r="13">
          <cell r="E13">
            <v>-0.5</v>
          </cell>
          <cell r="F13">
            <v>0.35206532676429952</v>
          </cell>
          <cell r="G13">
            <v>0.30853753872598688</v>
          </cell>
        </row>
        <row r="14">
          <cell r="E14">
            <v>0</v>
          </cell>
          <cell r="F14">
            <v>0.3989422804014327</v>
          </cell>
          <cell r="G14">
            <v>0.5</v>
          </cell>
        </row>
        <row r="15">
          <cell r="E15">
            <v>0.5</v>
          </cell>
          <cell r="F15">
            <v>0.35206532676429952</v>
          </cell>
          <cell r="G15">
            <v>0.69146246127401312</v>
          </cell>
        </row>
        <row r="16">
          <cell r="E16">
            <v>1</v>
          </cell>
          <cell r="F16">
            <v>0.24197072451914337</v>
          </cell>
          <cell r="G16">
            <v>0.84134474606854304</v>
          </cell>
        </row>
        <row r="17">
          <cell r="E17">
            <v>1.5</v>
          </cell>
          <cell r="F17">
            <v>0.12951759566589174</v>
          </cell>
          <cell r="G17">
            <v>0.93319279873114191</v>
          </cell>
        </row>
        <row r="18">
          <cell r="E18">
            <v>1.645</v>
          </cell>
          <cell r="F18">
            <v>0.10311081109198142</v>
          </cell>
          <cell r="G18">
            <v>0.95001509446087862</v>
          </cell>
        </row>
        <row r="19">
          <cell r="E19">
            <v>2</v>
          </cell>
          <cell r="F19">
            <v>5.3990966513188063E-2</v>
          </cell>
          <cell r="G19">
            <v>0.97724986805182079</v>
          </cell>
        </row>
        <row r="20">
          <cell r="E20">
            <v>2.3260000000000001</v>
          </cell>
          <cell r="F20">
            <v>2.6673718259423804E-2</v>
          </cell>
          <cell r="G20">
            <v>0.98999072465913229</v>
          </cell>
        </row>
        <row r="21">
          <cell r="E21">
            <v>2.5</v>
          </cell>
          <cell r="F21">
            <v>1.752830049356854E-2</v>
          </cell>
          <cell r="G21">
            <v>0.99379033467422384</v>
          </cell>
        </row>
        <row r="22">
          <cell r="E22">
            <v>3</v>
          </cell>
          <cell r="F22">
            <v>4.4318484119380075E-3</v>
          </cell>
          <cell r="G22">
            <v>0.9986501019683699</v>
          </cell>
        </row>
        <row r="23">
          <cell r="E23">
            <v>3.5</v>
          </cell>
          <cell r="F23">
            <v>8.7268269504576015E-4</v>
          </cell>
          <cell r="G23">
            <v>0.99976737092096446</v>
          </cell>
        </row>
        <row r="24">
          <cell r="E24">
            <v>4</v>
          </cell>
          <cell r="F24">
            <v>1.3383022576488537E-4</v>
          </cell>
          <cell r="G24">
            <v>0.99996832875816688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ionicturtle.com/forum/threads/coskew-and-cokurtosis-in-miller-chapter-3-p1-frm.6808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forum.bionicturtle.com/threads/p1-t2-20-5-common-univariate-random-variables-uniform-bernoulli-binomial-and-poisson.23295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1040-9271-4B40-9D52-1CDFF7BCE568}">
  <sheetPr codeName="Sheet65"/>
  <dimension ref="A1:A65"/>
  <sheetViews>
    <sheetView showGridLines="0" tabSelected="1" workbookViewId="0">
      <selection activeCell="M20" sqref="M20"/>
    </sheetView>
  </sheetViews>
  <sheetFormatPr defaultRowHeight="14.4"/>
  <cols>
    <col min="1" max="1" width="37.21875" style="357" customWidth="1"/>
  </cols>
  <sheetData>
    <row r="1" spans="1:1" s="610" customFormat="1" ht="18">
      <c r="A1" s="611" t="s">
        <v>457</v>
      </c>
    </row>
    <row r="2" spans="1:1">
      <c r="A2" s="612" t="s">
        <v>458</v>
      </c>
    </row>
    <row r="3" spans="1:1">
      <c r="A3" s="612" t="s">
        <v>459</v>
      </c>
    </row>
    <row r="4" spans="1:1">
      <c r="A4" s="612" t="s">
        <v>166</v>
      </c>
    </row>
    <row r="5" spans="1:1">
      <c r="A5" s="612" t="s">
        <v>460</v>
      </c>
    </row>
    <row r="6" spans="1:1">
      <c r="A6" s="612" t="s">
        <v>461</v>
      </c>
    </row>
    <row r="7" spans="1:1">
      <c r="A7" s="612" t="s">
        <v>462</v>
      </c>
    </row>
    <row r="8" spans="1:1">
      <c r="A8" s="612" t="s">
        <v>463</v>
      </c>
    </row>
    <row r="9" spans="1:1">
      <c r="A9" s="612" t="s">
        <v>464</v>
      </c>
    </row>
    <row r="10" spans="1:1">
      <c r="A10" s="612" t="s">
        <v>465</v>
      </c>
    </row>
    <row r="11" spans="1:1">
      <c r="A11" s="612" t="s">
        <v>174</v>
      </c>
    </row>
    <row r="12" spans="1:1">
      <c r="A12" s="612" t="s">
        <v>175</v>
      </c>
    </row>
    <row r="13" spans="1:1">
      <c r="A13" s="612" t="s">
        <v>466</v>
      </c>
    </row>
    <row r="14" spans="1:1">
      <c r="A14" s="612" t="s">
        <v>467</v>
      </c>
    </row>
    <row r="15" spans="1:1">
      <c r="A15" s="612" t="s">
        <v>468</v>
      </c>
    </row>
    <row r="16" spans="1:1">
      <c r="A16" s="612">
        <v>709.1</v>
      </c>
    </row>
    <row r="17" spans="1:1">
      <c r="A17" s="612">
        <v>709.2</v>
      </c>
    </row>
    <row r="18" spans="1:1">
      <c r="A18" s="612">
        <v>709.3</v>
      </c>
    </row>
    <row r="19" spans="1:1">
      <c r="A19" s="612">
        <v>301.10000000000002</v>
      </c>
    </row>
    <row r="20" spans="1:1">
      <c r="A20" s="612" t="s">
        <v>469</v>
      </c>
    </row>
    <row r="21" spans="1:1">
      <c r="A21" s="612" t="s">
        <v>470</v>
      </c>
    </row>
    <row r="22" spans="1:1">
      <c r="A22" s="612" t="s">
        <v>471</v>
      </c>
    </row>
    <row r="23" spans="1:1">
      <c r="A23" s="612" t="s">
        <v>472</v>
      </c>
    </row>
    <row r="24" spans="1:1">
      <c r="A24" s="612" t="s">
        <v>473</v>
      </c>
    </row>
    <row r="25" spans="1:1">
      <c r="A25" s="612" t="s">
        <v>474</v>
      </c>
    </row>
    <row r="26" spans="1:1">
      <c r="A26" s="612" t="s">
        <v>475</v>
      </c>
    </row>
    <row r="27" spans="1:1">
      <c r="A27" s="612" t="s">
        <v>476</v>
      </c>
    </row>
    <row r="28" spans="1:1">
      <c r="A28" s="612" t="s">
        <v>477</v>
      </c>
    </row>
    <row r="29" spans="1:1">
      <c r="A29" s="612" t="s">
        <v>478</v>
      </c>
    </row>
    <row r="30" spans="1:1">
      <c r="A30" s="612" t="s">
        <v>479</v>
      </c>
    </row>
    <row r="31" spans="1:1">
      <c r="A31" s="612" t="s">
        <v>480</v>
      </c>
    </row>
    <row r="32" spans="1:1">
      <c r="A32" s="612" t="s">
        <v>481</v>
      </c>
    </row>
    <row r="33" spans="1:1">
      <c r="A33" s="612" t="s">
        <v>482</v>
      </c>
    </row>
    <row r="34" spans="1:1">
      <c r="A34" s="612">
        <v>710.1</v>
      </c>
    </row>
    <row r="35" spans="1:1">
      <c r="A35" s="612">
        <v>710.2</v>
      </c>
    </row>
    <row r="36" spans="1:1">
      <c r="A36" s="612" t="s">
        <v>483</v>
      </c>
    </row>
    <row r="37" spans="1:1">
      <c r="A37" s="612" t="s">
        <v>484</v>
      </c>
    </row>
    <row r="38" spans="1:1">
      <c r="A38" s="612" t="s">
        <v>485</v>
      </c>
    </row>
    <row r="39" spans="1:1">
      <c r="A39" s="612" t="s">
        <v>486</v>
      </c>
    </row>
    <row r="40" spans="1:1">
      <c r="A40" s="612" t="s">
        <v>487</v>
      </c>
    </row>
    <row r="41" spans="1:1">
      <c r="A41" s="612" t="s">
        <v>488</v>
      </c>
    </row>
    <row r="42" spans="1:1">
      <c r="A42" s="612" t="s">
        <v>489</v>
      </c>
    </row>
    <row r="43" spans="1:1">
      <c r="A43" s="612" t="s">
        <v>490</v>
      </c>
    </row>
    <row r="44" spans="1:1">
      <c r="A44" s="612" t="s">
        <v>491</v>
      </c>
    </row>
    <row r="45" spans="1:1">
      <c r="A45" s="612" t="s">
        <v>492</v>
      </c>
    </row>
    <row r="46" spans="1:1">
      <c r="A46" s="612" t="s">
        <v>493</v>
      </c>
    </row>
    <row r="47" spans="1:1">
      <c r="A47" s="612" t="s">
        <v>494</v>
      </c>
    </row>
    <row r="48" spans="1:1">
      <c r="A48" s="612" t="s">
        <v>495</v>
      </c>
    </row>
    <row r="49" spans="1:1">
      <c r="A49" s="612" t="s">
        <v>496</v>
      </c>
    </row>
    <row r="50" spans="1:1">
      <c r="A50" s="612" t="s">
        <v>497</v>
      </c>
    </row>
    <row r="51" spans="1:1">
      <c r="A51" s="612" t="s">
        <v>498</v>
      </c>
    </row>
    <row r="52" spans="1:1">
      <c r="A52" s="612" t="s">
        <v>499</v>
      </c>
    </row>
    <row r="53" spans="1:1">
      <c r="A53" s="612" t="s">
        <v>500</v>
      </c>
    </row>
    <row r="54" spans="1:1">
      <c r="A54" s="612" t="s">
        <v>167</v>
      </c>
    </row>
    <row r="55" spans="1:1">
      <c r="A55" s="612" t="s">
        <v>168</v>
      </c>
    </row>
    <row r="56" spans="1:1">
      <c r="A56" s="612" t="s">
        <v>169</v>
      </c>
    </row>
    <row r="57" spans="1:1">
      <c r="A57" s="612">
        <v>319.10000000000002</v>
      </c>
    </row>
    <row r="58" spans="1:1">
      <c r="A58" s="612">
        <v>319.2</v>
      </c>
    </row>
    <row r="59" spans="1:1">
      <c r="A59" s="612" t="s">
        <v>170</v>
      </c>
    </row>
    <row r="60" spans="1:1">
      <c r="A60" s="612" t="s">
        <v>171</v>
      </c>
    </row>
    <row r="61" spans="1:1">
      <c r="A61" s="612" t="s">
        <v>172</v>
      </c>
    </row>
    <row r="62" spans="1:1">
      <c r="A62" s="612" t="s">
        <v>173</v>
      </c>
    </row>
    <row r="63" spans="1:1">
      <c r="A63" s="612">
        <v>302.2</v>
      </c>
    </row>
    <row r="64" spans="1:1">
      <c r="A64" s="612">
        <v>302.3</v>
      </c>
    </row>
    <row r="65" spans="1:1">
      <c r="A65" s="612" t="s">
        <v>176</v>
      </c>
    </row>
  </sheetData>
  <hyperlinks>
    <hyperlink ref="A2" location="'TOC'!A1" display="TOC" xr:uid="{B7D4E2C2-A969-4770-8ED3-924BCDED8177}"/>
    <hyperlink ref="A3" location="'QA1 Slide 4'!A1" display="QA1 Slide 4" xr:uid="{05DC4D34-2F6A-4EBF-9C26-228AE37636BE}"/>
    <hyperlink ref="A4" location="'Ex 2.3'!A1" display="Ex 2.3" xr:uid="{117B5073-CDCA-432F-AFF8-FA972E293999}"/>
    <hyperlink ref="A5" location="'QA1 Slide 6'!A1" display="QA1 Slide 6" xr:uid="{9F5AC8CB-8B8E-44C1-92A4-9B5E13CF42AF}"/>
    <hyperlink ref="A6" location="'QA1 Slide 7'!A1" display="QA1 Slide 7" xr:uid="{3E648FCE-6AE1-424A-87DF-C931B8A8C89D}"/>
    <hyperlink ref="A7" location="'QA1 Slide 13 '!A1" display="QA1 Slide 13 " xr:uid="{8E20B99B-DA89-462B-97C1-A447FA92E8BA}"/>
    <hyperlink ref="A8" location="'QA1 Slide 14 based on this'!A1" display="QA1 Slide 14 based on this" xr:uid="{0FE06613-2F66-43D7-9847-1A7C77AD1323}"/>
    <hyperlink ref="A9" location="'QA1 Slide 17'!A1" display="QA1 Slide 17" xr:uid="{8E2D13EF-956D-494F-BF02-75FE06AD1E6F}"/>
    <hyperlink ref="A10" location="'QA 1 Slide 19'!A1" display="QA 1 Slide 19" xr:uid="{439A21D4-2C88-4188-9498-338734D41B82}"/>
    <hyperlink ref="A11" location="'8.2. Bayes Theorem p41'!A1" display="8.2. Bayes Theorem p41" xr:uid="{1334A564-A3D2-414B-B045-0D4709ED8A3B}"/>
    <hyperlink ref="A12" location="'8.2 Bayes Theorem  p43'!A1" display="8.2 Bayes Theorem  p43" xr:uid="{0FF3FF2E-C34B-4DD5-8BD9-06C05FE3385E}"/>
    <hyperlink ref="A13" location="'20.1.1'!A1" display="20.1.1" xr:uid="{FE7C2FFD-BAAA-4C79-9281-A0DADA3D9734}"/>
    <hyperlink ref="A14" location="'20.1.2'!A1" display="20.1.2" xr:uid="{E4CA91B3-D849-48E5-BCEC-79479DF10095}"/>
    <hyperlink ref="A15" location="'20.2.3'!A1" display="20.2.3" xr:uid="{B0D8A174-4247-4861-85F5-6186913B1AE5}"/>
    <hyperlink ref="A16" location="'709.1'!A1" display="709.1" xr:uid="{623AB747-AA00-4579-9DA3-E52152BE4E0A}"/>
    <hyperlink ref="A17" location="'709.2'!A1" display="709.2" xr:uid="{8FC9DC5F-CA1E-46D8-9C3E-196C5B9EFFF6}"/>
    <hyperlink ref="A18" location="'709.3'!A1" display="709.3" xr:uid="{289085C3-5F9B-4615-9F55-9B8143E5389A}"/>
    <hyperlink ref="A19" location="'301.1'!A1" display="301.1" xr:uid="{6851BE9B-0B20-47D4-AAEB-304FA0735EFD}"/>
    <hyperlink ref="A20" location="'QA2 Slide 3'!A1" display="QA2 Slide 3" xr:uid="{4F8238F1-A457-4A88-AB44-AF1CD09F1FAF}"/>
    <hyperlink ref="A21" location="'QA2 Slide 4'!A1" display="QA2 Slide 4" xr:uid="{732A722B-0CEC-4935-ACBF-A6BA0AE6E125}"/>
    <hyperlink ref="A22" location="'QA2 Slide 6a'!A1" display="QA2 Slide 6a" xr:uid="{A3E5697F-BEE2-4F41-932E-003AA35E3AF1}"/>
    <hyperlink ref="A23" location="'QA2 Slide 6b'!A1" display="QA2 Slide 6b" xr:uid="{EE9D4218-EFD6-4D3D-A679-95CF3042F056}"/>
    <hyperlink ref="A24" location="'QA2 Slide 7a'!A1" display="QA2 Slide 7a" xr:uid="{5DD178D6-414F-45E2-B999-C54258A2301E}"/>
    <hyperlink ref="A25" location="'QA2 Slide 7b'!A1" display="QA2 Slide 7b" xr:uid="{C9DDD8AE-0B6D-4C4E-8241-21E58BD17558}"/>
    <hyperlink ref="A26" location="'QA2 Slide 8a'!A1" display="QA2 Slide 8a" xr:uid="{6C490452-6485-426D-83A7-600FCBA30F16}"/>
    <hyperlink ref="A27" location="'QA2 Slide 8b'!A1" display="QA2 Slide 8b" xr:uid="{ABA5A206-2AF3-44DE-80AB-65DDC12D645D}"/>
    <hyperlink ref="A28" location="'QA2 Slide 10'!A1" display="QA2 Slide 10" xr:uid="{1CF2A8B5-7C31-4C9C-B096-C1B3156B7614}"/>
    <hyperlink ref="A29" location="'QA2 Slide 11'!A1" display="QA2 Slide 11" xr:uid="{4F606F2B-3E58-44F3-ADBD-06ED6CD8CBE9}"/>
    <hyperlink ref="A30" location="'QA2 Slide 12 '!A1" display="QA2 Slide 12 " xr:uid="{F2135CAA-010E-4671-BD75-195439102B0F}"/>
    <hyperlink ref="A31" location="'QA2 Slide 15'!A1" display="QA2 Slide 15" xr:uid="{7707E6F7-104B-42C7-9AF3-356C8661D09B}"/>
    <hyperlink ref="A32" location="'20.4.1'!A1" display="20.4.1" xr:uid="{DE7B0629-B3EB-4493-ACAA-683C4018EE17}"/>
    <hyperlink ref="A33" location="'20.40.3'!A1" display="20.40.3" xr:uid="{B395C27B-8448-4B4E-8BBA-6356B5677960}"/>
    <hyperlink ref="A34" location="'710.1'!A1" display="710.1" xr:uid="{AC15CDBE-AA61-4E59-860B-8E5812C69DA3}"/>
    <hyperlink ref="A35" location="'710.2'!A1" display="710.2" xr:uid="{4A03BC06-B067-4A33-9950-E1C6A53ED1D8}"/>
    <hyperlink ref="A36" location="'712-1-skew'!A1" display="712-1-skew" xr:uid="{9FC41CEA-D435-4916-9E0D-9FCF91E30AA5}"/>
    <hyperlink ref="A37" location="'QA3-binomial'!A1" display="QA3-binomial" xr:uid="{8B7D9E69-A723-478A-813B-43853ABF24FE}"/>
    <hyperlink ref="A38" location="'QA3-binomial-tree'!A1" display="QA3-binomial-tree" xr:uid="{268C4997-836F-478D-8963-7D360020D3F5}"/>
    <hyperlink ref="A39" location="'QA3-Poisson'!A1" display="QA3-Poisson" xr:uid="{DB97BDD9-2BB1-4195-B77D-95844683723E}"/>
    <hyperlink ref="A40" location="'QA3-normal_'!A1" display="QA3-normal_" xr:uid="{FBABE90F-A49A-4F7A-A3F6-3590618FA902}"/>
    <hyperlink ref="A41" location="'QA3-lognormal'!A1" display="QA3-lognormal" xr:uid="{E5C50E63-0B18-4F58-9805-570FD407A380}"/>
    <hyperlink ref="A42" location="'QA3-chi^2'!A1" display="QA3-chi^2" xr:uid="{828BDD98-F986-4831-AA29-AEB055E9040F}"/>
    <hyperlink ref="A43" location="'QA3-students-t'!A1" display="QA3-students-t" xr:uid="{55CE854A-19D8-40DE-9D03-297E1B59D996}"/>
    <hyperlink ref="A44" location="'QA3-F-distr'!A1" display="QA3-F-distr" xr:uid="{63BDAC0B-59C9-4B61-9B0E-2475D3920B1F}"/>
    <hyperlink ref="A45" location="'QA3-triangular'!A1" display="QA3-triangular" xr:uid="{AB6C9F08-3CDA-42B3-8513-BA16056668DD}"/>
    <hyperlink ref="A46" location="'QA3-beta'!A1" display="QA3-beta" xr:uid="{FD619861-3C0C-427C-BFD7-6CCA6AC1C55F}"/>
    <hyperlink ref="A47" location="'QA3-normal-mixture'!A1" display="QA3-normal-mixture" xr:uid="{BEFAE282-44E3-4E0E-A05E-1C2C866901B1}"/>
    <hyperlink ref="A48" location="'QA3-Normal_binomial_Poisson'!A1" display="QA3-Normal_binomial_Poisson" xr:uid="{33B859C8-47F8-40DE-9C17-06118B8790BD}"/>
    <hyperlink ref="A49" location="'BT20.5.1'!A1" display="BT20.5.1" xr:uid="{E01A1609-B547-4EE5-A39E-A68AF1C83BC0}"/>
    <hyperlink ref="A50" location="'BT20.5.2'!A1" display="BT20.5.2" xr:uid="{D1296D24-5F97-4C9E-A97A-D4E326400514}"/>
    <hyperlink ref="A51" location="'20.6.1.'!A1" display="20.6.1." xr:uid="{0BE05CD2-C453-4298-A670-5F1A355E7305}"/>
    <hyperlink ref="A52" location="'20.7.2'!A1" display="20.7.2" xr:uid="{2147D81A-15D4-457A-96FD-E3DAD633268C}"/>
    <hyperlink ref="A53" location="'20.7.3.'!A1" display="20.7.3." xr:uid="{F35DF040-7BE1-47B7-9C3A-CE301D5C2669}"/>
    <hyperlink ref="A54" location="'arch'!A1" display="arch" xr:uid="{5D80DC3C-8672-4426-9C1F-B158CA47C523}"/>
    <hyperlink ref="A55" location="'pdf_CDF_source'!A1" display="pdf_CDF_source" xr:uid="{E0E810E9-438A-46C1-9DD8-75F70EDEAC2E}"/>
    <hyperlink ref="A56" location="'319.2 (2)'!A1" display="319.2 (2)" xr:uid="{916A3EFD-2B28-4F44-A96B-19AB79533949}"/>
    <hyperlink ref="A57" location="'319.1'!A1" display="319.1" xr:uid="{980F7F27-9548-4385-8031-E2E8EDAAB499}"/>
    <hyperlink ref="A58" location="'319.2'!A1" display="319.2" xr:uid="{41E28953-14A6-467D-8D7A-4458C0807F5E}"/>
    <hyperlink ref="A59" location="'8.2. Standard Normal pdf CDF'!A1" display="8.2. Standard Normal pdf CDF" xr:uid="{F80D9132-9E1A-4FCD-990C-782A48B9EB53}"/>
    <hyperlink ref="A60" location="'8.2 Discrete Probabilities'!A1" display="8.2 Discrete Probabilities" xr:uid="{29ABCD17-E091-4935-8108-8F788C23CB3B}"/>
    <hyperlink ref="A61" location="'8.2 Probability Matrix'!A1" display="8.2 Probability Matrix" xr:uid="{A516EC74-8BF1-47B2-8020-26FAC4D7AF89}"/>
    <hyperlink ref="A62" location="'8.2 Bayes Theorem p37-38'!A1" display="8.2 Bayes Theorem p37-38" xr:uid="{B733BFB4-3EF7-47C1-B6A4-B5EEC8A31B75}"/>
    <hyperlink ref="A63" location="'302.2'!A1" display="302.2" xr:uid="{DF67F0A3-3A1C-46F0-AAE3-943B225607CE}"/>
    <hyperlink ref="A64" location="'302.3'!A1" display="302.3" xr:uid="{46FFDA43-65B9-4D2D-9343-E1677533AF72}"/>
    <hyperlink ref="A65" location="'interpolate'!A1" display="interpolate" xr:uid="{4DD8C924-EA9F-4A1D-B947-0452CD66D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6E8A-28BE-4F0F-B093-F737AFF3D9D8}">
  <sheetPr codeName="Sheet2"/>
  <dimension ref="A1:A2"/>
  <sheetViews>
    <sheetView showGridLines="0" workbookViewId="0">
      <selection activeCell="S19" sqref="S19"/>
    </sheetView>
  </sheetViews>
  <sheetFormatPr defaultColWidth="9.109375" defaultRowHeight="13.2"/>
  <cols>
    <col min="1" max="8" width="9.109375" style="157"/>
    <col min="9" max="9" width="3.44140625" style="157" customWidth="1"/>
    <col min="10" max="16384" width="9.109375" style="157"/>
  </cols>
  <sheetData>
    <row r="1" spans="1:1" s="155" customFormat="1" ht="14.4">
      <c r="A1" s="156" t="s">
        <v>127</v>
      </c>
    </row>
    <row r="2" spans="1:1" s="155" customFormat="1" ht="14.4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53"/>
  <sheetViews>
    <sheetView showGridLines="0" workbookViewId="0">
      <selection activeCell="J32" sqref="J32"/>
    </sheetView>
  </sheetViews>
  <sheetFormatPr defaultRowHeight="14.4"/>
  <cols>
    <col min="2" max="2" width="4.44140625" customWidth="1"/>
    <col min="3" max="3" width="9.88671875" customWidth="1"/>
    <col min="4" max="7" width="12.6640625" customWidth="1"/>
    <col min="8" max="8" width="7.5546875" customWidth="1"/>
  </cols>
  <sheetData>
    <row r="1" spans="1:13" s="155" customFormat="1">
      <c r="A1" s="156" t="s">
        <v>120</v>
      </c>
    </row>
    <row r="2" spans="1:13" s="155" customFormat="1">
      <c r="A2" s="155" t="s">
        <v>152</v>
      </c>
    </row>
    <row r="5" spans="1:13">
      <c r="C5" s="162" t="s">
        <v>142</v>
      </c>
      <c r="D5" s="162"/>
      <c r="E5" s="162"/>
      <c r="F5" s="162"/>
      <c r="G5" s="162"/>
      <c r="M5" s="172" t="s">
        <v>153</v>
      </c>
    </row>
    <row r="6" spans="1:13">
      <c r="C6" s="162" t="s">
        <v>135</v>
      </c>
      <c r="D6" s="162"/>
      <c r="E6" s="162"/>
      <c r="F6" s="162"/>
      <c r="G6" s="162"/>
      <c r="M6" s="173" t="s">
        <v>156</v>
      </c>
    </row>
    <row r="7" spans="1:13">
      <c r="C7" s="35"/>
      <c r="D7" s="35"/>
      <c r="E7" s="72" t="s">
        <v>119</v>
      </c>
      <c r="F7" s="72"/>
      <c r="M7" s="173" t="s">
        <v>157</v>
      </c>
    </row>
    <row r="8" spans="1:13">
      <c r="C8" s="35"/>
      <c r="D8" s="35"/>
      <c r="E8" s="99" t="s">
        <v>128</v>
      </c>
      <c r="F8" s="99" t="s">
        <v>129</v>
      </c>
      <c r="G8" s="41" t="s">
        <v>141</v>
      </c>
      <c r="M8" s="173" t="s">
        <v>158</v>
      </c>
    </row>
    <row r="9" spans="1:13">
      <c r="C9" s="35"/>
      <c r="D9" s="35"/>
      <c r="E9" s="141" t="s">
        <v>136</v>
      </c>
      <c r="F9" s="141" t="s">
        <v>137</v>
      </c>
      <c r="G9" s="36" t="s">
        <v>114</v>
      </c>
      <c r="M9" s="173" t="s">
        <v>159</v>
      </c>
    </row>
    <row r="10" spans="1:13">
      <c r="C10" s="589" t="s">
        <v>118</v>
      </c>
      <c r="D10" s="148" t="s">
        <v>115</v>
      </c>
      <c r="E10" s="142">
        <v>0.15</v>
      </c>
      <c r="F10" s="145">
        <v>0.05</v>
      </c>
      <c r="G10" s="153">
        <f>SUM(E10:F10)</f>
        <v>0.2</v>
      </c>
      <c r="M10" s="173" t="s">
        <v>160</v>
      </c>
    </row>
    <row r="11" spans="1:13">
      <c r="C11" s="589"/>
      <c r="D11" s="148" t="s">
        <v>116</v>
      </c>
      <c r="E11" s="142">
        <v>0.3</v>
      </c>
      <c r="F11" s="146">
        <v>0.25</v>
      </c>
      <c r="G11" s="56">
        <f>SUM(E11:F11)</f>
        <v>0.55000000000000004</v>
      </c>
      <c r="M11" s="173"/>
    </row>
    <row r="12" spans="1:13">
      <c r="C12" s="589"/>
      <c r="D12" s="148" t="s">
        <v>117</v>
      </c>
      <c r="E12" s="144">
        <v>0.05</v>
      </c>
      <c r="F12" s="147">
        <v>0.2</v>
      </c>
      <c r="G12" s="56">
        <f>SUM(E12:F12)</f>
        <v>0.25</v>
      </c>
      <c r="M12" s="173"/>
    </row>
    <row r="13" spans="1:13">
      <c r="C13" s="35"/>
      <c r="D13" s="66" t="s">
        <v>140</v>
      </c>
      <c r="E13" s="150">
        <f>SUM(E10:E12)</f>
        <v>0.49999999999999994</v>
      </c>
      <c r="F13" s="150">
        <f>SUM(F10:F12)</f>
        <v>0.5</v>
      </c>
      <c r="G13" s="149">
        <f>SUM(E10:F12)</f>
        <v>1</v>
      </c>
      <c r="M13" s="173"/>
    </row>
    <row r="14" spans="1:13">
      <c r="M14" s="173"/>
    </row>
    <row r="15" spans="1:13">
      <c r="C15" s="162" t="s">
        <v>165</v>
      </c>
      <c r="D15" s="162"/>
      <c r="E15" s="162"/>
      <c r="F15" s="162"/>
      <c r="G15" s="162"/>
      <c r="M15" s="173"/>
    </row>
    <row r="16" spans="1:13">
      <c r="C16" s="162" t="s">
        <v>151</v>
      </c>
      <c r="D16" s="162"/>
      <c r="E16" s="162"/>
      <c r="F16" s="162"/>
      <c r="G16" s="162"/>
      <c r="M16" s="173"/>
    </row>
    <row r="17" spans="3:13">
      <c r="E17" s="36" t="s">
        <v>138</v>
      </c>
      <c r="F17" s="36" t="s">
        <v>139</v>
      </c>
      <c r="M17" s="173"/>
    </row>
    <row r="18" spans="3:13">
      <c r="E18" s="163">
        <f>E13</f>
        <v>0.49999999999999994</v>
      </c>
      <c r="F18" s="163">
        <f>F13</f>
        <v>0.5</v>
      </c>
      <c r="M18" s="173"/>
    </row>
    <row r="19" spans="3:13">
      <c r="D19" s="66" t="s">
        <v>130</v>
      </c>
      <c r="E19" s="53">
        <f t="shared" ref="E19:F21" si="0">E10/E$13</f>
        <v>0.30000000000000004</v>
      </c>
      <c r="F19" s="53">
        <f t="shared" si="0"/>
        <v>0.1</v>
      </c>
      <c r="G19" s="154" t="s">
        <v>132</v>
      </c>
      <c r="M19" s="173"/>
    </row>
    <row r="20" spans="3:13">
      <c r="D20" s="66" t="s">
        <v>145</v>
      </c>
      <c r="E20" s="53">
        <f t="shared" si="0"/>
        <v>0.60000000000000009</v>
      </c>
      <c r="F20" s="53">
        <f t="shared" si="0"/>
        <v>0.5</v>
      </c>
      <c r="G20" s="154" t="s">
        <v>133</v>
      </c>
      <c r="M20" s="173"/>
    </row>
    <row r="21" spans="3:13">
      <c r="D21" s="66" t="s">
        <v>131</v>
      </c>
      <c r="E21" s="53">
        <f t="shared" si="0"/>
        <v>0.10000000000000002</v>
      </c>
      <c r="F21" s="53">
        <f t="shared" si="0"/>
        <v>0.4</v>
      </c>
      <c r="G21" s="154" t="s">
        <v>134</v>
      </c>
      <c r="M21" s="173"/>
    </row>
    <row r="22" spans="3:13">
      <c r="D22" s="66"/>
      <c r="E22" s="53"/>
      <c r="F22" s="53"/>
      <c r="G22" s="154"/>
    </row>
    <row r="25" spans="3:13">
      <c r="C25" s="162" t="s">
        <v>147</v>
      </c>
      <c r="D25" s="162"/>
      <c r="E25" s="162"/>
      <c r="F25" s="162"/>
      <c r="G25" s="162"/>
      <c r="M25" s="172" t="s">
        <v>154</v>
      </c>
    </row>
    <row r="26" spans="3:13">
      <c r="C26" s="162" t="s">
        <v>149</v>
      </c>
      <c r="D26" s="162"/>
      <c r="E26" s="162"/>
      <c r="F26" s="162"/>
      <c r="G26" s="162"/>
      <c r="M26" s="173" t="s">
        <v>161</v>
      </c>
    </row>
    <row r="27" spans="3:13">
      <c r="C27" s="35"/>
      <c r="D27" s="35"/>
      <c r="E27" s="72" t="s">
        <v>119</v>
      </c>
      <c r="F27" s="72"/>
      <c r="M27" s="173" t="s">
        <v>162</v>
      </c>
    </row>
    <row r="28" spans="3:13">
      <c r="C28" s="35"/>
      <c r="D28" s="35"/>
      <c r="E28" s="41" t="s">
        <v>128</v>
      </c>
      <c r="F28" s="41" t="s">
        <v>129</v>
      </c>
      <c r="G28" s="41"/>
      <c r="M28" s="173" t="s">
        <v>163</v>
      </c>
    </row>
    <row r="29" spans="3:13">
      <c r="C29" s="35"/>
      <c r="D29" s="35"/>
      <c r="E29" s="41" t="s">
        <v>136</v>
      </c>
      <c r="F29" s="41" t="s">
        <v>137</v>
      </c>
      <c r="G29" s="36"/>
      <c r="M29" s="173"/>
    </row>
    <row r="30" spans="3:13">
      <c r="C30" s="589" t="s">
        <v>118</v>
      </c>
      <c r="D30" s="41" t="s">
        <v>143</v>
      </c>
      <c r="E30" s="177">
        <v>0.15</v>
      </c>
      <c r="F30" s="164">
        <v>0.05</v>
      </c>
      <c r="G30" s="168">
        <f>SUM(E30:F30)</f>
        <v>0.2</v>
      </c>
      <c r="M30" s="173"/>
    </row>
    <row r="31" spans="3:13">
      <c r="C31" s="589"/>
      <c r="D31" s="41" t="s">
        <v>146</v>
      </c>
      <c r="E31" s="169">
        <v>0.3</v>
      </c>
      <c r="F31" s="178">
        <v>0.25</v>
      </c>
      <c r="G31" s="53">
        <f>SUM(E31:F31)</f>
        <v>0.55000000000000004</v>
      </c>
      <c r="I31" s="170"/>
      <c r="M31" s="173"/>
    </row>
    <row r="32" spans="3:13">
      <c r="C32" s="589"/>
      <c r="D32" s="41" t="s">
        <v>144</v>
      </c>
      <c r="E32" s="166">
        <v>0.05</v>
      </c>
      <c r="F32" s="167">
        <v>0.2</v>
      </c>
      <c r="G32" s="53">
        <f>SUM(E32:F32)</f>
        <v>0.25</v>
      </c>
      <c r="M32" s="173"/>
    </row>
    <row r="33" spans="3:14">
      <c r="C33" s="35"/>
      <c r="D33" s="66"/>
      <c r="E33" s="53">
        <f>SUM(E30:E32)</f>
        <v>0.49999999999999994</v>
      </c>
      <c r="F33" s="53">
        <f>SUM(F30:F32)</f>
        <v>0.5</v>
      </c>
      <c r="G33" s="149">
        <f>SUM(E30:F32)</f>
        <v>1</v>
      </c>
      <c r="M33" s="173"/>
    </row>
    <row r="34" spans="3:14">
      <c r="M34" s="173"/>
    </row>
    <row r="35" spans="3:14">
      <c r="C35" s="174" t="str">
        <f>"P[B↑ ∩ O] = "&amp;TEXT(E30,"0.0%")&amp;" = P[B↑] * P[O | B↑] = "&amp;TEXT(G30,"0.0%")&amp;" * ("&amp;TEXT(E30,"0.0%")&amp;" / "&amp;TEXT(G30,"0.0%")&amp;")"</f>
        <v>P[B↑ ∩ O] = 15.0% = P[B↑] * P[O | B↑] = 20.0% * (15.0% / 20.0%)</v>
      </c>
      <c r="D35" s="175"/>
      <c r="E35" s="175"/>
      <c r="F35" s="175"/>
      <c r="G35" s="176"/>
      <c r="M35" s="173"/>
    </row>
    <row r="36" spans="3:14">
      <c r="C36" s="174" t="str">
        <f>"P[B↑ ∩ O] = "&amp;TEXT(E30,"0.0%")&amp;" = P[O] * [B↑ | O] = "&amp;TEXT(E33,"0.0%")&amp;" * ("&amp;TEXT(E30,"0.0%")&amp;" / "&amp;TEXT(E33,"0.0%")&amp;")"</f>
        <v>P[B↑ ∩ O] = 15.0% = P[O] * [B↑ | O] = 50.0% * (15.0% / 50.0%)</v>
      </c>
      <c r="D36" s="175"/>
      <c r="E36" s="175"/>
      <c r="F36" s="175"/>
      <c r="G36" s="175"/>
      <c r="M36" s="173"/>
    </row>
    <row r="37" spans="3:14">
      <c r="C37" s="179" t="str">
        <f>"P[B↔ ∩ U] = "&amp;TEXT(F31,"0.0%")&amp;" = P[B↔] * P[U | B↔] = "&amp;TEXT(G31,"0.0%")&amp;" * ("&amp;TEXT(F31,"0.0%")&amp;" / "&amp;TEXT(G31,"0.0%")&amp;")"</f>
        <v>P[B↔ ∩ U] = 25.0% = P[B↔] * P[U | B↔] = 55.0% * (25.0% / 55.0%)</v>
      </c>
      <c r="D37" s="179"/>
      <c r="E37" s="179"/>
      <c r="F37" s="179"/>
      <c r="G37" s="179"/>
      <c r="M37" s="173"/>
    </row>
    <row r="38" spans="3:14">
      <c r="C38" s="179" t="str">
        <f>"P[B↔ ∩ U] = "&amp;TEXT(F31,"0.0%")&amp;" = P[U] * P[B↔ | U]  = "&amp;TEXT(F33,"0.0%")&amp;" * ("&amp;TEXT(F31,"0.0%")&amp;" / "&amp;TEXT(F33,"0.0%")&amp;")"</f>
        <v>P[B↔ ∩ U] = 25.0% = P[U] * P[B↔ | U]  = 50.0% * (25.0% / 50.0%)</v>
      </c>
      <c r="D38" s="179"/>
      <c r="E38" s="179"/>
      <c r="F38" s="179"/>
      <c r="G38" s="179"/>
      <c r="M38" s="173"/>
    </row>
    <row r="39" spans="3:14">
      <c r="N39" s="170"/>
    </row>
    <row r="40" spans="3:14">
      <c r="N40" s="170"/>
    </row>
    <row r="42" spans="3:14">
      <c r="C42" s="162" t="s">
        <v>148</v>
      </c>
      <c r="D42" s="162"/>
      <c r="E42" s="162"/>
      <c r="F42" s="162"/>
      <c r="G42" s="162"/>
      <c r="M42" s="172" t="s">
        <v>155</v>
      </c>
    </row>
    <row r="43" spans="3:14">
      <c r="C43" s="162" t="s">
        <v>150</v>
      </c>
      <c r="D43" s="162"/>
      <c r="E43" s="162"/>
      <c r="F43" s="162"/>
      <c r="G43" s="162"/>
      <c r="M43" s="173" t="s">
        <v>164</v>
      </c>
    </row>
    <row r="44" spans="3:14">
      <c r="C44" s="35"/>
      <c r="D44" s="35"/>
      <c r="E44" s="72" t="s">
        <v>119</v>
      </c>
      <c r="F44" s="72"/>
      <c r="M44" s="173" t="s">
        <v>162</v>
      </c>
    </row>
    <row r="45" spans="3:14">
      <c r="C45" s="35"/>
      <c r="D45" s="35"/>
      <c r="E45" s="41" t="s">
        <v>128</v>
      </c>
      <c r="F45" s="41" t="s">
        <v>129</v>
      </c>
      <c r="G45" s="41"/>
      <c r="M45" s="173" t="s">
        <v>163</v>
      </c>
    </row>
    <row r="46" spans="3:14">
      <c r="C46" s="35"/>
      <c r="D46" s="35"/>
      <c r="E46" s="41" t="s">
        <v>136</v>
      </c>
      <c r="F46" s="41" t="s">
        <v>137</v>
      </c>
      <c r="G46" s="36"/>
      <c r="M46" s="173"/>
    </row>
    <row r="47" spans="3:14">
      <c r="C47" s="589" t="s">
        <v>118</v>
      </c>
      <c r="D47" s="41" t="s">
        <v>143</v>
      </c>
      <c r="E47" s="171">
        <v>0.15</v>
      </c>
      <c r="F47" s="164">
        <v>0.05</v>
      </c>
      <c r="G47" s="168">
        <f>SUM(E47:F47)</f>
        <v>0.2</v>
      </c>
      <c r="M47" s="173"/>
    </row>
    <row r="48" spans="3:14">
      <c r="C48" s="589"/>
      <c r="D48" s="41" t="s">
        <v>146</v>
      </c>
      <c r="E48" s="169">
        <v>0.3</v>
      </c>
      <c r="F48" s="165">
        <v>0.25</v>
      </c>
      <c r="G48" s="53">
        <f>SUM(E48:F48)</f>
        <v>0.55000000000000004</v>
      </c>
      <c r="M48" s="173"/>
    </row>
    <row r="49" spans="3:13">
      <c r="C49" s="589"/>
      <c r="D49" s="41" t="s">
        <v>144</v>
      </c>
      <c r="E49" s="166">
        <v>0.05</v>
      </c>
      <c r="F49" s="167">
        <v>0.2</v>
      </c>
      <c r="G49" s="181">
        <f>SUM(E49:F49)</f>
        <v>0.25</v>
      </c>
      <c r="M49" s="173"/>
    </row>
    <row r="50" spans="3:13">
      <c r="C50" s="35"/>
      <c r="D50" s="66"/>
      <c r="E50" s="180">
        <f>SUM(E47:E49)</f>
        <v>0.49999999999999994</v>
      </c>
      <c r="F50" s="53">
        <f>SUM(F47:F49)</f>
        <v>0.5</v>
      </c>
      <c r="G50" s="149">
        <f>SUM(E47:F49)</f>
        <v>1</v>
      </c>
      <c r="M50" s="173"/>
    </row>
    <row r="51" spans="3:13">
      <c r="M51" s="173"/>
    </row>
    <row r="52" spans="3:13">
      <c r="C52" s="174" t="str">
        <f>"P[B↓] = "&amp;TEXT(G49,"0.0%")&amp;" = P[B↓ ∩ O] +  P[B↓ ∩ U]= "&amp;TEXT(E49,"0.0%")&amp;" + "&amp;TEXT(F49,"0.0%")</f>
        <v>P[B↓] = 25.0% = P[B↓ ∩ O] +  P[B↓ ∩ U]= 5.0% + 20.0%</v>
      </c>
      <c r="D52" s="175"/>
      <c r="E52" s="175"/>
      <c r="F52" s="175"/>
      <c r="G52" s="176"/>
      <c r="M52" s="173"/>
    </row>
    <row r="53" spans="3:13">
      <c r="C53" s="179" t="str">
        <f>"P[O] = "&amp;TEXT(E50,"0.0%")&amp;" = P[B↑∩O] + P[B↔∩O] + P[B↓∩O]= "&amp;TEXT(E47,"0%")&amp;" + "&amp;TEXT(E48,"0%")&amp;" + "&amp;TEXT(E49,"0%")</f>
        <v>P[O] = 50.0% = P[B↑∩O] + P[B↔∩O] + P[B↓∩O]= 15% + 30% + 5%</v>
      </c>
      <c r="D53" s="179"/>
      <c r="E53" s="179"/>
      <c r="F53" s="179"/>
      <c r="G53" s="179"/>
      <c r="M53" s="173"/>
    </row>
  </sheetData>
  <mergeCells count="3">
    <mergeCell ref="C10:C12"/>
    <mergeCell ref="C30:C32"/>
    <mergeCell ref="C47:C49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60C5-7AB4-4F82-91A0-338F4E4DDA5F}">
  <sheetPr codeName="Sheet4"/>
  <dimension ref="A1:W56"/>
  <sheetViews>
    <sheetView showGridLines="0" workbookViewId="0">
      <selection activeCell="L24" sqref="L24"/>
    </sheetView>
  </sheetViews>
  <sheetFormatPr defaultRowHeight="14.4"/>
  <cols>
    <col min="2" max="2" width="4.44140625" customWidth="1"/>
    <col min="3" max="3" width="9.88671875" customWidth="1"/>
    <col min="4" max="5" width="3.6640625" customWidth="1"/>
    <col min="6" max="9" width="12.6640625" customWidth="1"/>
    <col min="10" max="10" width="7.5546875" customWidth="1"/>
    <col min="20" max="23" width="12.6640625" customWidth="1"/>
    <col min="24" max="24" width="7.5546875" customWidth="1"/>
  </cols>
  <sheetData>
    <row r="1" spans="1:23" s="155" customFormat="1">
      <c r="A1" s="156" t="s">
        <v>120</v>
      </c>
    </row>
    <row r="2" spans="1:23" s="155" customFormat="1">
      <c r="A2" s="155" t="s">
        <v>152</v>
      </c>
    </row>
    <row r="5" spans="1:23">
      <c r="C5" s="162" t="s">
        <v>142</v>
      </c>
      <c r="D5" s="162"/>
      <c r="E5" s="162"/>
      <c r="F5" s="162"/>
      <c r="G5" s="162"/>
      <c r="H5" s="162"/>
      <c r="I5" s="162"/>
      <c r="O5" s="172" t="s">
        <v>153</v>
      </c>
      <c r="S5" s="162" t="s">
        <v>142</v>
      </c>
      <c r="T5" s="162"/>
      <c r="U5" s="162"/>
      <c r="V5" s="162"/>
      <c r="W5" s="162"/>
    </row>
    <row r="6" spans="1:23">
      <c r="C6" s="162" t="s">
        <v>135</v>
      </c>
      <c r="D6" s="162"/>
      <c r="E6" s="162"/>
      <c r="F6" s="162"/>
      <c r="G6" s="162"/>
      <c r="H6" s="162"/>
      <c r="I6" s="162"/>
      <c r="O6" s="173" t="s">
        <v>156</v>
      </c>
      <c r="S6" s="162" t="s">
        <v>135</v>
      </c>
      <c r="T6" s="162"/>
      <c r="U6" s="162"/>
      <c r="V6" s="162"/>
      <c r="W6" s="162"/>
    </row>
    <row r="7" spans="1:23">
      <c r="C7" s="35"/>
      <c r="D7" s="35"/>
      <c r="E7" s="35"/>
      <c r="F7" s="186"/>
      <c r="G7" s="186"/>
      <c r="H7" s="186"/>
      <c r="O7" s="173" t="s">
        <v>157</v>
      </c>
      <c r="S7" s="35"/>
      <c r="T7" s="35"/>
      <c r="U7" s="186"/>
      <c r="V7" s="186"/>
    </row>
    <row r="8" spans="1:23">
      <c r="C8" s="35"/>
      <c r="D8" s="35"/>
      <c r="E8" s="35"/>
      <c r="F8" s="187" t="s">
        <v>100</v>
      </c>
      <c r="G8" s="187"/>
      <c r="H8" s="187"/>
      <c r="I8" s="41" t="s">
        <v>141</v>
      </c>
      <c r="O8" s="173" t="s">
        <v>158</v>
      </c>
      <c r="S8" s="35"/>
      <c r="T8" s="35"/>
      <c r="U8" s="187" t="s">
        <v>186</v>
      </c>
      <c r="V8" s="187"/>
      <c r="W8" s="41"/>
    </row>
    <row r="9" spans="1:23">
      <c r="C9" s="35"/>
      <c r="D9" s="35"/>
      <c r="E9" s="35"/>
      <c r="F9" s="99">
        <v>1</v>
      </c>
      <c r="G9" s="99">
        <v>2</v>
      </c>
      <c r="H9" s="99">
        <v>3</v>
      </c>
      <c r="I9" s="41" t="s">
        <v>187</v>
      </c>
      <c r="O9" s="173" t="s">
        <v>159</v>
      </c>
      <c r="S9" s="35"/>
      <c r="T9" s="35"/>
      <c r="U9" s="141" t="s">
        <v>188</v>
      </c>
      <c r="V9" s="141" t="s">
        <v>189</v>
      </c>
      <c r="W9" s="188" t="s">
        <v>102</v>
      </c>
    </row>
    <row r="10" spans="1:23">
      <c r="C10" s="590"/>
      <c r="D10" s="190"/>
      <c r="E10" s="188">
        <v>1</v>
      </c>
      <c r="F10" s="191">
        <v>0.06</v>
      </c>
      <c r="G10" s="192">
        <v>0.15</v>
      </c>
      <c r="H10" s="145">
        <v>0.09</v>
      </c>
      <c r="I10" s="47">
        <f>SUM(F10:H10)</f>
        <v>0.3</v>
      </c>
      <c r="O10" s="173" t="s">
        <v>160</v>
      </c>
      <c r="S10" s="591" t="s">
        <v>190</v>
      </c>
      <c r="T10" s="148" t="s">
        <v>191</v>
      </c>
      <c r="U10" s="142">
        <v>0.25</v>
      </c>
      <c r="V10" s="145">
        <v>0.03</v>
      </c>
      <c r="W10" s="56">
        <f>SUM(U10:V10)</f>
        <v>0.28000000000000003</v>
      </c>
    </row>
    <row r="11" spans="1:23">
      <c r="C11" s="590"/>
      <c r="D11" s="190" t="s">
        <v>11</v>
      </c>
      <c r="E11" s="188">
        <v>2</v>
      </c>
      <c r="F11" s="193">
        <v>0.12</v>
      </c>
      <c r="G11" s="194">
        <v>0.3</v>
      </c>
      <c r="H11" s="146">
        <v>0.18</v>
      </c>
      <c r="I11" s="47">
        <f t="shared" ref="I11:I12" si="0">SUM(F11:H11)</f>
        <v>0.6</v>
      </c>
      <c r="O11" s="173"/>
      <c r="S11" s="591"/>
      <c r="T11" s="148" t="s">
        <v>192</v>
      </c>
      <c r="U11" s="142">
        <v>0.23</v>
      </c>
      <c r="V11" s="146">
        <v>0.18</v>
      </c>
      <c r="W11" s="56">
        <f>SUM(U11:V11)</f>
        <v>0.41000000000000003</v>
      </c>
    </row>
    <row r="12" spans="1:23">
      <c r="C12" s="590"/>
      <c r="D12" s="190"/>
      <c r="E12" s="188">
        <v>3</v>
      </c>
      <c r="F12" s="144">
        <v>0.02</v>
      </c>
      <c r="G12" s="195">
        <v>0.05</v>
      </c>
      <c r="H12" s="147">
        <v>0.03</v>
      </c>
      <c r="I12" s="196">
        <f t="shared" si="0"/>
        <v>0.1</v>
      </c>
      <c r="O12" s="173"/>
      <c r="S12" s="591"/>
      <c r="T12" s="148" t="s">
        <v>193</v>
      </c>
      <c r="U12" s="144">
        <v>0.05</v>
      </c>
      <c r="V12" s="147">
        <v>0.26</v>
      </c>
      <c r="W12" s="56">
        <f>SUM(U12:V12)</f>
        <v>0.31</v>
      </c>
    </row>
    <row r="13" spans="1:23">
      <c r="C13" s="35"/>
      <c r="D13" s="35"/>
      <c r="E13" s="197" t="s">
        <v>194</v>
      </c>
      <c r="F13" s="49">
        <f>F10+F11+F12</f>
        <v>0.19999999999999998</v>
      </c>
      <c r="G13" s="49">
        <f t="shared" ref="G13:H13" si="1">G10+G11+G12</f>
        <v>0.49999999999999994</v>
      </c>
      <c r="H13" s="198">
        <f t="shared" si="1"/>
        <v>0.30000000000000004</v>
      </c>
      <c r="I13" s="53">
        <f>SUM(F10:H12)</f>
        <v>1</v>
      </c>
      <c r="O13" s="173"/>
      <c r="S13" s="35"/>
      <c r="T13" s="99" t="s">
        <v>102</v>
      </c>
      <c r="U13" s="150">
        <f>SUM(U10:U12)</f>
        <v>0.53</v>
      </c>
      <c r="V13" s="150">
        <f>SUM(V10:V12)</f>
        <v>0.47</v>
      </c>
      <c r="W13" s="149">
        <f>SUM(U10:V12)</f>
        <v>1</v>
      </c>
    </row>
    <row r="14" spans="1:23">
      <c r="O14" s="173"/>
    </row>
    <row r="15" spans="1:23">
      <c r="O15" s="173"/>
      <c r="U15" s="99" t="s">
        <v>139</v>
      </c>
      <c r="V15" s="99" t="s">
        <v>195</v>
      </c>
    </row>
    <row r="16" spans="1:23">
      <c r="C16" s="162" t="s">
        <v>165</v>
      </c>
      <c r="D16" s="162"/>
      <c r="E16" s="162"/>
      <c r="F16" s="162"/>
      <c r="G16" s="162"/>
      <c r="H16" s="162"/>
      <c r="I16" s="162"/>
      <c r="O16" s="173"/>
      <c r="T16" s="199" t="s">
        <v>196</v>
      </c>
      <c r="U16" s="163">
        <f>U13</f>
        <v>0.53</v>
      </c>
      <c r="V16" s="163">
        <f>V13</f>
        <v>0.47</v>
      </c>
    </row>
    <row r="17" spans="3:23">
      <c r="C17" s="162" t="s">
        <v>151</v>
      </c>
      <c r="D17" s="162"/>
      <c r="E17" s="162"/>
      <c r="F17" s="162"/>
      <c r="G17" s="162"/>
      <c r="H17" s="162"/>
      <c r="I17" s="162"/>
      <c r="O17" s="173"/>
      <c r="T17" s="66" t="s">
        <v>197</v>
      </c>
      <c r="U17" s="53">
        <f t="shared" ref="U17:V19" si="2">U10/U$13</f>
        <v>0.47169811320754712</v>
      </c>
      <c r="V17" s="53">
        <f t="shared" si="2"/>
        <v>6.3829787234042548E-2</v>
      </c>
      <c r="W17" s="154" t="s">
        <v>198</v>
      </c>
    </row>
    <row r="18" spans="3:23">
      <c r="O18" s="173"/>
      <c r="T18" s="66" t="s">
        <v>199</v>
      </c>
      <c r="U18" s="53">
        <f t="shared" si="2"/>
        <v>0.43396226415094341</v>
      </c>
      <c r="V18" s="53">
        <f t="shared" si="2"/>
        <v>0.38297872340425532</v>
      </c>
      <c r="W18" s="154" t="s">
        <v>200</v>
      </c>
    </row>
    <row r="19" spans="3:23">
      <c r="F19" s="187" t="str">
        <f>"Y = "&amp;F9</f>
        <v>Y = 1</v>
      </c>
      <c r="G19" s="187" t="str">
        <f t="shared" ref="G19:H19" si="3">"Y = "&amp;G9</f>
        <v>Y = 2</v>
      </c>
      <c r="H19" s="187" t="str">
        <f t="shared" si="3"/>
        <v>Y = 3</v>
      </c>
      <c r="O19" s="173"/>
      <c r="T19" s="66" t="s">
        <v>201</v>
      </c>
      <c r="U19" s="126">
        <f t="shared" si="2"/>
        <v>9.4339622641509441E-2</v>
      </c>
      <c r="V19" s="53">
        <f t="shared" si="2"/>
        <v>0.55319148936170215</v>
      </c>
      <c r="W19" s="154" t="s">
        <v>202</v>
      </c>
    </row>
    <row r="20" spans="3:23">
      <c r="F20" s="163">
        <f>F13</f>
        <v>0.19999999999999998</v>
      </c>
      <c r="G20" s="163">
        <f>G13</f>
        <v>0.49999999999999994</v>
      </c>
      <c r="H20" s="163">
        <f>H13</f>
        <v>0.30000000000000004</v>
      </c>
      <c r="O20" s="173"/>
    </row>
    <row r="21" spans="3:23">
      <c r="E21" s="66" t="s">
        <v>203</v>
      </c>
      <c r="F21" s="53">
        <f t="shared" ref="F21:H23" si="4">F10/F$13</f>
        <v>0.3</v>
      </c>
      <c r="G21" s="53">
        <f t="shared" si="4"/>
        <v>0.30000000000000004</v>
      </c>
      <c r="H21" s="53">
        <f t="shared" si="4"/>
        <v>0.29999999999999993</v>
      </c>
      <c r="I21" s="154" t="s">
        <v>204</v>
      </c>
      <c r="O21" s="173"/>
    </row>
    <row r="22" spans="3:23">
      <c r="E22" s="66" t="s">
        <v>205</v>
      </c>
      <c r="F22" s="53">
        <f t="shared" si="4"/>
        <v>0.6</v>
      </c>
      <c r="G22" s="53">
        <f t="shared" si="4"/>
        <v>0.60000000000000009</v>
      </c>
      <c r="H22" s="53">
        <f t="shared" si="4"/>
        <v>0.59999999999999987</v>
      </c>
      <c r="I22" s="154" t="s">
        <v>206</v>
      </c>
      <c r="O22" s="173"/>
    </row>
    <row r="23" spans="3:23">
      <c r="E23" s="66" t="s">
        <v>207</v>
      </c>
      <c r="F23" s="53">
        <f t="shared" si="4"/>
        <v>0.1</v>
      </c>
      <c r="G23" s="53">
        <f t="shared" si="4"/>
        <v>0.10000000000000002</v>
      </c>
      <c r="H23" s="53">
        <f t="shared" si="4"/>
        <v>9.9999999999999978E-2</v>
      </c>
      <c r="I23" s="154" t="s">
        <v>208</v>
      </c>
      <c r="O23" s="173"/>
    </row>
    <row r="24" spans="3:23">
      <c r="E24" s="66"/>
      <c r="F24" s="53"/>
      <c r="G24" s="53"/>
      <c r="H24" s="53"/>
      <c r="I24" s="154"/>
    </row>
    <row r="27" spans="3:23">
      <c r="C27" s="162" t="s">
        <v>147</v>
      </c>
      <c r="D27" s="162"/>
      <c r="E27" s="162"/>
      <c r="F27" s="162"/>
      <c r="G27" s="162"/>
      <c r="H27" s="162"/>
      <c r="I27" s="162"/>
      <c r="O27" s="172" t="s">
        <v>154</v>
      </c>
    </row>
    <row r="28" spans="3:23">
      <c r="C28" s="162" t="s">
        <v>149</v>
      </c>
      <c r="D28" s="162"/>
      <c r="E28" s="162"/>
      <c r="F28" s="162"/>
      <c r="G28" s="162"/>
      <c r="H28" s="162"/>
      <c r="I28" s="162"/>
      <c r="O28" s="173" t="s">
        <v>161</v>
      </c>
    </row>
    <row r="29" spans="3:23">
      <c r="C29" s="35"/>
      <c r="D29" s="35"/>
      <c r="E29" s="35"/>
      <c r="F29" s="35"/>
      <c r="G29" s="35"/>
      <c r="H29" s="35"/>
      <c r="I29" s="35"/>
      <c r="O29" s="173" t="s">
        <v>162</v>
      </c>
    </row>
    <row r="30" spans="3:23">
      <c r="C30" s="35"/>
      <c r="D30" s="35"/>
      <c r="E30" s="35"/>
      <c r="F30" s="187" t="s">
        <v>100</v>
      </c>
      <c r="G30" s="187"/>
      <c r="H30" s="187"/>
      <c r="I30" s="41"/>
      <c r="O30" s="173" t="s">
        <v>163</v>
      </c>
    </row>
    <row r="31" spans="3:23">
      <c r="C31" s="35"/>
      <c r="D31" s="35"/>
      <c r="E31" s="35"/>
      <c r="F31" s="200">
        <v>1</v>
      </c>
      <c r="G31" s="200">
        <v>2</v>
      </c>
      <c r="H31" s="200">
        <v>3</v>
      </c>
      <c r="I31" s="41"/>
      <c r="O31" s="173"/>
    </row>
    <row r="32" spans="3:23">
      <c r="C32" s="590"/>
      <c r="D32" s="190"/>
      <c r="E32" s="188">
        <v>1</v>
      </c>
      <c r="F32" s="201">
        <f>F10</f>
        <v>0.06</v>
      </c>
      <c r="G32" s="202">
        <f t="shared" ref="G32:H32" si="5">G10</f>
        <v>0.15</v>
      </c>
      <c r="H32" s="165">
        <f t="shared" si="5"/>
        <v>0.09</v>
      </c>
      <c r="I32" s="53">
        <f>SUM(F32:H32)</f>
        <v>0.3</v>
      </c>
      <c r="O32" s="173"/>
    </row>
    <row r="33" spans="3:16">
      <c r="C33" s="590"/>
      <c r="D33" s="190" t="s">
        <v>11</v>
      </c>
      <c r="E33" s="188">
        <v>2</v>
      </c>
      <c r="F33" s="169">
        <f t="shared" ref="F33:H34" si="6">F11</f>
        <v>0.12</v>
      </c>
      <c r="G33" s="202">
        <f t="shared" si="6"/>
        <v>0.3</v>
      </c>
      <c r="H33" s="203">
        <f t="shared" si="6"/>
        <v>0.18</v>
      </c>
      <c r="I33" s="53">
        <f>SUM(F33:H33)</f>
        <v>0.6</v>
      </c>
      <c r="K33" s="170"/>
      <c r="O33" s="173"/>
    </row>
    <row r="34" spans="3:16">
      <c r="C34" s="590"/>
      <c r="D34" s="190"/>
      <c r="E34" s="188">
        <v>3</v>
      </c>
      <c r="F34" s="166">
        <f t="shared" si="6"/>
        <v>0.02</v>
      </c>
      <c r="G34" s="204">
        <f t="shared" si="6"/>
        <v>0.05</v>
      </c>
      <c r="H34" s="167">
        <f t="shared" si="6"/>
        <v>0.03</v>
      </c>
      <c r="I34" s="53">
        <f>SUM(F34:H34)</f>
        <v>0.1</v>
      </c>
      <c r="O34" s="173"/>
    </row>
    <row r="35" spans="3:16">
      <c r="C35" s="35"/>
      <c r="D35" s="35"/>
      <c r="E35" s="66"/>
      <c r="F35" s="53">
        <f>SUM(F32:F34)</f>
        <v>0.19999999999999998</v>
      </c>
      <c r="G35" s="53"/>
      <c r="H35" s="53">
        <f>SUM(H32:H34)</f>
        <v>0.30000000000000004</v>
      </c>
      <c r="I35" s="149">
        <f>SUM(F32:H34)</f>
        <v>1</v>
      </c>
      <c r="O35" s="173"/>
    </row>
    <row r="36" spans="3:16">
      <c r="O36" s="173"/>
    </row>
    <row r="37" spans="3:16">
      <c r="C37" s="205" t="str">
        <f>"P( X=1 ∩ Y=1 ) = "&amp;TEXT(F32,"0.0%")&amp;" = P(X=1) * P( Y=1 | X=1 ) = "&amp;TEXT(I32,"0.0%")&amp;" * ("&amp;TEXT(F32,"0.0%")&amp;" / "&amp;TEXT(I32,"0.0%")&amp;")"</f>
        <v>P( X=1 ∩ Y=1 ) = 6.0% = P(X=1) * P( Y=1 | X=1 ) = 30.0% * (6.0% / 30.0%)</v>
      </c>
      <c r="D37" s="205"/>
      <c r="E37" s="206"/>
      <c r="F37" s="206"/>
      <c r="G37" s="206"/>
      <c r="H37" s="206"/>
      <c r="I37" s="207"/>
      <c r="O37" s="173"/>
    </row>
    <row r="38" spans="3:16">
      <c r="C38" s="205" t="str">
        <f>"P( X=1 ∩ Y=1 ) = "&amp;TEXT(F32,"0.0%")&amp;" = P(Y=1) * P( X=1 | Y=1 ) = "&amp;TEXT(F35,"0.0%")&amp;" * ("&amp;TEXT(F32,"0.0%")&amp;" / "&amp;TEXT(F35,"0.0%")&amp;")"</f>
        <v>P( X=1 ∩ Y=1 ) = 6.0% = P(Y=1) * P( X=1 | Y=1 ) = 20.0% * (6.0% / 20.0%)</v>
      </c>
      <c r="D38" s="205"/>
      <c r="E38" s="206"/>
      <c r="F38" s="206"/>
      <c r="G38" s="206"/>
      <c r="H38" s="206"/>
      <c r="I38" s="206"/>
      <c r="O38" s="173"/>
    </row>
    <row r="39" spans="3:16">
      <c r="O39" s="173"/>
    </row>
    <row r="40" spans="3:16">
      <c r="C40" s="205" t="str">
        <f>"P( X=2 ∩ Y=3 ) = "&amp;TEXT(H33,"0.0%")&amp;" = P(X=2) * P( Y=3 | X=2 ) = "&amp;TEXT(I33,"0.0%")&amp;" * ("&amp;TEXT(H33,"0.0%")&amp;" / "&amp;TEXT(I33,"0.0%")&amp;")"</f>
        <v>P( X=2 ∩ Y=3 ) = 18.0% = P(X=2) * P( Y=3 | X=2 ) = 60.0% * (18.0% / 60.0%)</v>
      </c>
      <c r="D40" s="205"/>
      <c r="E40" s="205"/>
      <c r="F40" s="205"/>
      <c r="G40" s="205"/>
      <c r="H40" s="205"/>
      <c r="I40" s="205"/>
      <c r="O40" s="173"/>
    </row>
    <row r="41" spans="3:16">
      <c r="C41" s="205" t="str">
        <f>"P( X=2 ∩ Y=3 ) = "&amp;TEXT(H33,"0.0%")&amp;" = P(Y=3) * P( X=2 | Y=3 ) = "&amp;TEXT(H35,"0.0%")&amp;" * ("&amp;TEXT(H33,"0.0%")&amp;" / "&amp;TEXT(H35,"0.0%")&amp;")"</f>
        <v>P( X=2 ∩ Y=3 ) = 18.0% = P(Y=3) * P( X=2 | Y=3 ) = 30.0% * (18.0% / 30.0%)</v>
      </c>
      <c r="D41" s="205"/>
      <c r="E41" s="205"/>
      <c r="F41" s="205"/>
      <c r="G41" s="205"/>
      <c r="H41" s="205"/>
      <c r="I41" s="205"/>
      <c r="O41" s="173"/>
    </row>
    <row r="42" spans="3:16">
      <c r="P42" s="170"/>
    </row>
    <row r="43" spans="3:16">
      <c r="P43" s="170"/>
    </row>
    <row r="45" spans="3:16">
      <c r="C45" s="162" t="s">
        <v>148</v>
      </c>
      <c r="D45" s="162"/>
      <c r="E45" s="162"/>
      <c r="F45" s="162"/>
      <c r="G45" s="162"/>
      <c r="H45" s="162"/>
      <c r="I45" s="162"/>
      <c r="O45" s="172" t="s">
        <v>155</v>
      </c>
    </row>
    <row r="46" spans="3:16">
      <c r="C46" s="162" t="s">
        <v>150</v>
      </c>
      <c r="D46" s="162"/>
      <c r="E46" s="162"/>
      <c r="F46" s="162"/>
      <c r="G46" s="162"/>
      <c r="H46" s="162"/>
      <c r="I46" s="162"/>
      <c r="O46" s="173" t="s">
        <v>164</v>
      </c>
    </row>
    <row r="47" spans="3:16">
      <c r="C47" s="35"/>
      <c r="D47" s="35"/>
      <c r="E47" s="35"/>
      <c r="F47" s="72" t="s">
        <v>119</v>
      </c>
      <c r="G47" s="72"/>
      <c r="H47" s="72"/>
      <c r="O47" s="173" t="s">
        <v>162</v>
      </c>
    </row>
    <row r="48" spans="3:16">
      <c r="C48" s="35"/>
      <c r="D48" s="35"/>
      <c r="E48" s="35"/>
      <c r="F48" s="41" t="s">
        <v>128</v>
      </c>
      <c r="G48" s="41"/>
      <c r="H48" s="41" t="s">
        <v>129</v>
      </c>
      <c r="I48" s="41"/>
      <c r="O48" s="173" t="s">
        <v>163</v>
      </c>
    </row>
    <row r="49" spans="3:15">
      <c r="C49" s="35"/>
      <c r="D49" s="35"/>
      <c r="E49" s="35"/>
      <c r="F49" s="41" t="s">
        <v>136</v>
      </c>
      <c r="G49" s="41"/>
      <c r="H49" s="41" t="s">
        <v>137</v>
      </c>
      <c r="I49" s="36"/>
      <c r="O49" s="173"/>
    </row>
    <row r="50" spans="3:15">
      <c r="C50" s="589" t="s">
        <v>118</v>
      </c>
      <c r="D50" s="189"/>
      <c r="E50" s="41" t="s">
        <v>143</v>
      </c>
      <c r="F50" s="171">
        <v>0.15</v>
      </c>
      <c r="G50" s="208"/>
      <c r="H50" s="164">
        <v>0.05</v>
      </c>
      <c r="I50" s="168">
        <f>SUM(F50:H50)</f>
        <v>0.2</v>
      </c>
      <c r="O50" s="173"/>
    </row>
    <row r="51" spans="3:15">
      <c r="C51" s="589"/>
      <c r="D51" s="189"/>
      <c r="E51" s="41" t="s">
        <v>146</v>
      </c>
      <c r="F51" s="169">
        <v>0.3</v>
      </c>
      <c r="G51" s="202"/>
      <c r="H51" s="165">
        <v>0.25</v>
      </c>
      <c r="I51" s="53">
        <f>SUM(F51:H51)</f>
        <v>0.55000000000000004</v>
      </c>
      <c r="O51" s="173"/>
    </row>
    <row r="52" spans="3:15">
      <c r="C52" s="589"/>
      <c r="D52" s="189"/>
      <c r="E52" s="41" t="s">
        <v>144</v>
      </c>
      <c r="F52" s="166">
        <v>0.05</v>
      </c>
      <c r="G52" s="204"/>
      <c r="H52" s="167">
        <v>0.2</v>
      </c>
      <c r="I52" s="181">
        <f>SUM(F52:H52)</f>
        <v>0.25</v>
      </c>
      <c r="O52" s="173"/>
    </row>
    <row r="53" spans="3:15">
      <c r="C53" s="35"/>
      <c r="D53" s="35"/>
      <c r="E53" s="66"/>
      <c r="F53" s="180">
        <f>SUM(F50:F52)</f>
        <v>0.49999999999999994</v>
      </c>
      <c r="G53" s="180"/>
      <c r="H53" s="53">
        <f>SUM(H50:H52)</f>
        <v>0.5</v>
      </c>
      <c r="I53" s="149">
        <f>SUM(F50:H52)</f>
        <v>1</v>
      </c>
      <c r="O53" s="173"/>
    </row>
    <row r="54" spans="3:15">
      <c r="O54" s="173"/>
    </row>
    <row r="55" spans="3:15">
      <c r="C55" s="174" t="str">
        <f>"P[B↓] = "&amp;TEXT(I52,"0.0%")&amp;" = P[B↓ ∩ O] +  P[B↓ ∩ U]= "&amp;TEXT(F52,"0.0%")&amp;" + "&amp;TEXT(H52,"0.0%")</f>
        <v>P[B↓] = 25.0% = P[B↓ ∩ O] +  P[B↓ ∩ U]= 5.0% + 20.0%</v>
      </c>
      <c r="D55" s="174"/>
      <c r="E55" s="175"/>
      <c r="F55" s="175"/>
      <c r="G55" s="175"/>
      <c r="H55" s="175"/>
      <c r="I55" s="176"/>
      <c r="O55" s="173"/>
    </row>
    <row r="56" spans="3:15">
      <c r="C56" s="179" t="str">
        <f>"P[O] = "&amp;TEXT(F53,"0.0%")&amp;" = P[B↑∩O] + P[B↔∩O] + P[B↓∩O]= "&amp;TEXT(F50,"0%")&amp;" + "&amp;TEXT(F51,"0%")&amp;" + "&amp;TEXT(F52,"0%")</f>
        <v>P[O] = 50.0% = P[B↑∩O] + P[B↔∩O] + P[B↓∩O]= 15% + 30% + 5%</v>
      </c>
      <c r="D56" s="179"/>
      <c r="E56" s="179"/>
      <c r="F56" s="179"/>
      <c r="G56" s="179"/>
      <c r="H56" s="179"/>
      <c r="I56" s="179"/>
      <c r="O56" s="173"/>
    </row>
  </sheetData>
  <mergeCells count="4">
    <mergeCell ref="C10:C12"/>
    <mergeCell ref="S10:S12"/>
    <mergeCell ref="C32:C34"/>
    <mergeCell ref="C50:C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0A34-4187-4957-90F6-60A112D82BE1}">
  <sheetPr codeName="Sheet5"/>
  <dimension ref="A1:W56"/>
  <sheetViews>
    <sheetView showGridLines="0" workbookViewId="0">
      <selection sqref="A1:XFD1048576"/>
    </sheetView>
  </sheetViews>
  <sheetFormatPr defaultRowHeight="14.4"/>
  <cols>
    <col min="2" max="2" width="4.44140625" customWidth="1"/>
    <col min="3" max="3" width="9.88671875" customWidth="1"/>
    <col min="4" max="5" width="3.6640625" customWidth="1"/>
    <col min="6" max="9" width="12.6640625" customWidth="1"/>
    <col min="10" max="10" width="7.5546875" customWidth="1"/>
    <col min="20" max="23" width="12.6640625" customWidth="1"/>
    <col min="24" max="24" width="7.5546875" customWidth="1"/>
  </cols>
  <sheetData>
    <row r="1" spans="1:23" s="155" customFormat="1">
      <c r="A1" s="156" t="s">
        <v>120</v>
      </c>
    </row>
    <row r="2" spans="1:23" s="155" customFormat="1">
      <c r="A2" s="155" t="s">
        <v>152</v>
      </c>
    </row>
    <row r="5" spans="1:23">
      <c r="C5" s="162" t="s">
        <v>142</v>
      </c>
      <c r="D5" s="162"/>
      <c r="E5" s="162"/>
      <c r="F5" s="162"/>
      <c r="G5" s="162"/>
      <c r="H5" s="162"/>
      <c r="I5" s="162"/>
      <c r="O5" s="172" t="s">
        <v>153</v>
      </c>
      <c r="S5" s="162" t="s">
        <v>142</v>
      </c>
      <c r="T5" s="162"/>
      <c r="U5" s="162"/>
      <c r="V5" s="162"/>
      <c r="W5" s="162"/>
    </row>
    <row r="6" spans="1:23">
      <c r="C6" s="162" t="s">
        <v>135</v>
      </c>
      <c r="D6" s="162"/>
      <c r="E6" s="162"/>
      <c r="F6" s="162"/>
      <c r="G6" s="162"/>
      <c r="H6" s="162"/>
      <c r="I6" s="162"/>
      <c r="O6" s="173" t="s">
        <v>156</v>
      </c>
      <c r="S6" s="162" t="s">
        <v>135</v>
      </c>
      <c r="T6" s="162"/>
      <c r="U6" s="162"/>
      <c r="V6" s="162"/>
      <c r="W6" s="162"/>
    </row>
    <row r="7" spans="1:23">
      <c r="C7" s="35"/>
      <c r="D7" s="35"/>
      <c r="E7" s="35"/>
      <c r="F7" s="186"/>
      <c r="G7" s="186"/>
      <c r="H7" s="186"/>
      <c r="O7" s="173" t="s">
        <v>157</v>
      </c>
      <c r="S7" s="35"/>
      <c r="T7" s="35"/>
      <c r="U7" s="186"/>
      <c r="V7" s="186"/>
    </row>
    <row r="8" spans="1:23">
      <c r="C8" s="35"/>
      <c r="D8" s="35"/>
      <c r="E8" s="35"/>
      <c r="F8" s="187" t="s">
        <v>100</v>
      </c>
      <c r="G8" s="187"/>
      <c r="H8" s="187"/>
      <c r="I8" s="41" t="s">
        <v>141</v>
      </c>
      <c r="O8" s="173" t="s">
        <v>158</v>
      </c>
      <c r="S8" s="35"/>
      <c r="T8" s="35"/>
      <c r="U8" s="187" t="s">
        <v>186</v>
      </c>
      <c r="V8" s="187"/>
      <c r="W8" s="41"/>
    </row>
    <row r="9" spans="1:23">
      <c r="C9" s="35"/>
      <c r="D9" s="35"/>
      <c r="E9" s="35"/>
      <c r="F9" s="99">
        <v>1</v>
      </c>
      <c r="G9" s="99">
        <v>2</v>
      </c>
      <c r="H9" s="99">
        <v>3</v>
      </c>
      <c r="I9" s="41" t="s">
        <v>187</v>
      </c>
      <c r="O9" s="173" t="s">
        <v>159</v>
      </c>
      <c r="S9" s="35"/>
      <c r="T9" s="35"/>
      <c r="U9" s="141" t="s">
        <v>188</v>
      </c>
      <c r="V9" s="141" t="s">
        <v>189</v>
      </c>
      <c r="W9" s="188" t="s">
        <v>102</v>
      </c>
    </row>
    <row r="10" spans="1:23">
      <c r="C10" s="590"/>
      <c r="D10" s="190"/>
      <c r="E10" s="188">
        <v>1</v>
      </c>
      <c r="F10" s="191">
        <v>0.06</v>
      </c>
      <c r="G10" s="192">
        <v>0.15</v>
      </c>
      <c r="H10" s="145">
        <v>0.09</v>
      </c>
      <c r="I10" s="47">
        <f>SUM(F10:H10)</f>
        <v>0.3</v>
      </c>
      <c r="O10" s="173" t="s">
        <v>160</v>
      </c>
      <c r="S10" s="591" t="s">
        <v>190</v>
      </c>
      <c r="T10" s="148" t="s">
        <v>191</v>
      </c>
      <c r="U10" s="142">
        <v>0.25</v>
      </c>
      <c r="V10" s="145">
        <v>0.03</v>
      </c>
      <c r="W10" s="56">
        <f>SUM(U10:V10)</f>
        <v>0.28000000000000003</v>
      </c>
    </row>
    <row r="11" spans="1:23">
      <c r="C11" s="590"/>
      <c r="D11" s="190" t="s">
        <v>11</v>
      </c>
      <c r="E11" s="188">
        <v>2</v>
      </c>
      <c r="F11" s="193">
        <v>0.12</v>
      </c>
      <c r="G11" s="194">
        <v>0.3</v>
      </c>
      <c r="H11" s="146">
        <v>0.18</v>
      </c>
      <c r="I11" s="47">
        <f t="shared" ref="I11:I12" si="0">SUM(F11:H11)</f>
        <v>0.6</v>
      </c>
      <c r="O11" s="173"/>
      <c r="S11" s="591"/>
      <c r="T11" s="148" t="s">
        <v>192</v>
      </c>
      <c r="U11" s="142">
        <v>0.23</v>
      </c>
      <c r="V11" s="146">
        <v>0.18</v>
      </c>
      <c r="W11" s="56">
        <f>SUM(U11:V11)</f>
        <v>0.41000000000000003</v>
      </c>
    </row>
    <row r="12" spans="1:23">
      <c r="C12" s="590"/>
      <c r="D12" s="190"/>
      <c r="E12" s="188">
        <v>3</v>
      </c>
      <c r="F12" s="144">
        <v>0.02</v>
      </c>
      <c r="G12" s="195">
        <v>0.05</v>
      </c>
      <c r="H12" s="147">
        <v>0.03</v>
      </c>
      <c r="I12" s="196">
        <f t="shared" si="0"/>
        <v>0.1</v>
      </c>
      <c r="O12" s="173"/>
      <c r="S12" s="591"/>
      <c r="T12" s="148" t="s">
        <v>193</v>
      </c>
      <c r="U12" s="144">
        <v>0.05</v>
      </c>
      <c r="V12" s="147">
        <v>0.26</v>
      </c>
      <c r="W12" s="56">
        <f>SUM(U12:V12)</f>
        <v>0.31</v>
      </c>
    </row>
    <row r="13" spans="1:23">
      <c r="C13" s="35"/>
      <c r="D13" s="35"/>
      <c r="E13" s="197" t="s">
        <v>194</v>
      </c>
      <c r="F13" s="49">
        <f>F10+F11+F12</f>
        <v>0.19999999999999998</v>
      </c>
      <c r="G13" s="49">
        <f t="shared" ref="G13:H13" si="1">G10+G11+G12</f>
        <v>0.49999999999999994</v>
      </c>
      <c r="H13" s="198">
        <f t="shared" si="1"/>
        <v>0.30000000000000004</v>
      </c>
      <c r="I13" s="53">
        <f>SUM(F10:H12)</f>
        <v>1</v>
      </c>
      <c r="O13" s="173"/>
      <c r="S13" s="35"/>
      <c r="T13" s="99" t="s">
        <v>102</v>
      </c>
      <c r="U13" s="150">
        <f>SUM(U10:U12)</f>
        <v>0.53</v>
      </c>
      <c r="V13" s="150">
        <f>SUM(V10:V12)</f>
        <v>0.47</v>
      </c>
      <c r="W13" s="149">
        <f>SUM(U10:V12)</f>
        <v>1</v>
      </c>
    </row>
    <row r="14" spans="1:23">
      <c r="O14" s="173"/>
    </row>
    <row r="15" spans="1:23">
      <c r="O15" s="173"/>
      <c r="U15" s="99" t="s">
        <v>139</v>
      </c>
      <c r="V15" s="99" t="s">
        <v>195</v>
      </c>
    </row>
    <row r="16" spans="1:23">
      <c r="C16" s="162" t="s">
        <v>165</v>
      </c>
      <c r="D16" s="162"/>
      <c r="E16" s="162"/>
      <c r="F16" s="162"/>
      <c r="G16" s="162"/>
      <c r="H16" s="162"/>
      <c r="I16" s="162"/>
      <c r="O16" s="173"/>
      <c r="T16" s="199" t="s">
        <v>196</v>
      </c>
      <c r="U16" s="163">
        <f>U13</f>
        <v>0.53</v>
      </c>
      <c r="V16" s="163">
        <f>V13</f>
        <v>0.47</v>
      </c>
    </row>
    <row r="17" spans="3:23">
      <c r="C17" s="162" t="s">
        <v>151</v>
      </c>
      <c r="D17" s="162"/>
      <c r="E17" s="162"/>
      <c r="F17" s="162"/>
      <c r="G17" s="162"/>
      <c r="H17" s="162"/>
      <c r="I17" s="162"/>
      <c r="O17" s="173"/>
      <c r="T17" s="66" t="s">
        <v>197</v>
      </c>
      <c r="U17" s="53">
        <f t="shared" ref="U17:V19" si="2">U10/U$13</f>
        <v>0.47169811320754712</v>
      </c>
      <c r="V17" s="53">
        <f t="shared" si="2"/>
        <v>6.3829787234042548E-2</v>
      </c>
      <c r="W17" s="154" t="s">
        <v>198</v>
      </c>
    </row>
    <row r="18" spans="3:23">
      <c r="O18" s="173"/>
      <c r="T18" s="66" t="s">
        <v>199</v>
      </c>
      <c r="U18" s="53">
        <f t="shared" si="2"/>
        <v>0.43396226415094341</v>
      </c>
      <c r="V18" s="53">
        <f t="shared" si="2"/>
        <v>0.38297872340425532</v>
      </c>
      <c r="W18" s="154" t="s">
        <v>200</v>
      </c>
    </row>
    <row r="19" spans="3:23">
      <c r="F19" s="187" t="str">
        <f>"Y = "&amp;F9</f>
        <v>Y = 1</v>
      </c>
      <c r="G19" s="187" t="str">
        <f t="shared" ref="G19:H19" si="3">"Y = "&amp;G9</f>
        <v>Y = 2</v>
      </c>
      <c r="H19" s="187" t="str">
        <f t="shared" si="3"/>
        <v>Y = 3</v>
      </c>
      <c r="O19" s="173"/>
      <c r="T19" s="66" t="s">
        <v>201</v>
      </c>
      <c r="U19" s="126">
        <f t="shared" si="2"/>
        <v>9.4339622641509441E-2</v>
      </c>
      <c r="V19" s="53">
        <f t="shared" si="2"/>
        <v>0.55319148936170215</v>
      </c>
      <c r="W19" s="154" t="s">
        <v>202</v>
      </c>
    </row>
    <row r="20" spans="3:23">
      <c r="F20" s="163">
        <f>F13</f>
        <v>0.19999999999999998</v>
      </c>
      <c r="G20" s="163">
        <f>G13</f>
        <v>0.49999999999999994</v>
      </c>
      <c r="H20" s="163">
        <f>H13</f>
        <v>0.30000000000000004</v>
      </c>
      <c r="O20" s="173"/>
    </row>
    <row r="21" spans="3:23">
      <c r="E21" s="66" t="s">
        <v>203</v>
      </c>
      <c r="F21" s="53">
        <f t="shared" ref="F21:H23" si="4">F10/F$13</f>
        <v>0.3</v>
      </c>
      <c r="G21" s="53">
        <f t="shared" si="4"/>
        <v>0.30000000000000004</v>
      </c>
      <c r="H21" s="53">
        <f t="shared" si="4"/>
        <v>0.29999999999999993</v>
      </c>
      <c r="I21" s="154" t="s">
        <v>204</v>
      </c>
      <c r="O21" s="173"/>
    </row>
    <row r="22" spans="3:23">
      <c r="E22" s="66" t="s">
        <v>205</v>
      </c>
      <c r="F22" s="53">
        <f t="shared" si="4"/>
        <v>0.6</v>
      </c>
      <c r="G22" s="53">
        <f t="shared" si="4"/>
        <v>0.60000000000000009</v>
      </c>
      <c r="H22" s="53">
        <f t="shared" si="4"/>
        <v>0.59999999999999987</v>
      </c>
      <c r="I22" s="154" t="s">
        <v>206</v>
      </c>
      <c r="O22" s="173"/>
    </row>
    <row r="23" spans="3:23">
      <c r="E23" s="66" t="s">
        <v>207</v>
      </c>
      <c r="F23" s="53">
        <f t="shared" si="4"/>
        <v>0.1</v>
      </c>
      <c r="G23" s="53">
        <f t="shared" si="4"/>
        <v>0.10000000000000002</v>
      </c>
      <c r="H23" s="53">
        <f t="shared" si="4"/>
        <v>9.9999999999999978E-2</v>
      </c>
      <c r="I23" s="154" t="s">
        <v>208</v>
      </c>
      <c r="O23" s="173"/>
    </row>
    <row r="24" spans="3:23">
      <c r="E24" s="66"/>
      <c r="F24" s="53"/>
      <c r="G24" s="53"/>
      <c r="H24" s="53"/>
      <c r="I24" s="154"/>
    </row>
    <row r="27" spans="3:23">
      <c r="C27" s="162" t="s">
        <v>147</v>
      </c>
      <c r="D27" s="162"/>
      <c r="E27" s="162"/>
      <c r="F27" s="162"/>
      <c r="G27" s="162"/>
      <c r="H27" s="162"/>
      <c r="I27" s="162"/>
      <c r="O27" s="172" t="s">
        <v>154</v>
      </c>
    </row>
    <row r="28" spans="3:23">
      <c r="C28" s="162" t="s">
        <v>149</v>
      </c>
      <c r="D28" s="162"/>
      <c r="E28" s="162"/>
      <c r="F28" s="162"/>
      <c r="G28" s="162"/>
      <c r="H28" s="162"/>
      <c r="I28" s="162"/>
      <c r="O28" s="173" t="s">
        <v>161</v>
      </c>
    </row>
    <row r="29" spans="3:23">
      <c r="C29" s="35"/>
      <c r="D29" s="35"/>
      <c r="E29" s="35"/>
      <c r="F29" s="35"/>
      <c r="G29" s="35"/>
      <c r="H29" s="35"/>
      <c r="I29" s="35"/>
      <c r="O29" s="173" t="s">
        <v>162</v>
      </c>
    </row>
    <row r="30" spans="3:23">
      <c r="C30" s="35"/>
      <c r="D30" s="35"/>
      <c r="E30" s="35"/>
      <c r="F30" s="187" t="s">
        <v>100</v>
      </c>
      <c r="G30" s="187"/>
      <c r="H30" s="187"/>
      <c r="I30" s="41"/>
      <c r="O30" s="173" t="s">
        <v>163</v>
      </c>
    </row>
    <row r="31" spans="3:23">
      <c r="C31" s="35"/>
      <c r="D31" s="35"/>
      <c r="E31" s="35"/>
      <c r="F31" s="200">
        <v>1</v>
      </c>
      <c r="G31" s="200">
        <v>2</v>
      </c>
      <c r="H31" s="200">
        <v>3</v>
      </c>
      <c r="I31" s="41"/>
      <c r="O31" s="173"/>
    </row>
    <row r="32" spans="3:23">
      <c r="C32" s="590"/>
      <c r="D32" s="190"/>
      <c r="E32" s="188">
        <v>1</v>
      </c>
      <c r="F32" s="201">
        <f>F10</f>
        <v>0.06</v>
      </c>
      <c r="G32" s="202">
        <f t="shared" ref="G32:H32" si="5">G10</f>
        <v>0.15</v>
      </c>
      <c r="H32" s="165">
        <f t="shared" si="5"/>
        <v>0.09</v>
      </c>
      <c r="I32" s="53">
        <f>SUM(F32:H32)</f>
        <v>0.3</v>
      </c>
      <c r="O32" s="173"/>
    </row>
    <row r="33" spans="3:16">
      <c r="C33" s="590"/>
      <c r="D33" s="190" t="s">
        <v>11</v>
      </c>
      <c r="E33" s="188">
        <v>2</v>
      </c>
      <c r="F33" s="169">
        <f t="shared" ref="F33:H34" si="6">F11</f>
        <v>0.12</v>
      </c>
      <c r="G33" s="202">
        <f t="shared" si="6"/>
        <v>0.3</v>
      </c>
      <c r="H33" s="203">
        <f t="shared" si="6"/>
        <v>0.18</v>
      </c>
      <c r="I33" s="53">
        <f>SUM(F33:H33)</f>
        <v>0.6</v>
      </c>
      <c r="K33" s="170"/>
      <c r="O33" s="173"/>
    </row>
    <row r="34" spans="3:16">
      <c r="C34" s="590"/>
      <c r="D34" s="190"/>
      <c r="E34" s="188">
        <v>3</v>
      </c>
      <c r="F34" s="166">
        <f t="shared" si="6"/>
        <v>0.02</v>
      </c>
      <c r="G34" s="204">
        <f t="shared" si="6"/>
        <v>0.05</v>
      </c>
      <c r="H34" s="167">
        <f t="shared" si="6"/>
        <v>0.03</v>
      </c>
      <c r="I34" s="53">
        <f>SUM(F34:H34)</f>
        <v>0.1</v>
      </c>
      <c r="O34" s="173"/>
    </row>
    <row r="35" spans="3:16">
      <c r="C35" s="35"/>
      <c r="D35" s="35"/>
      <c r="E35" s="66"/>
      <c r="F35" s="53">
        <f>SUM(F32:F34)</f>
        <v>0.19999999999999998</v>
      </c>
      <c r="G35" s="53"/>
      <c r="H35" s="53">
        <f>SUM(H32:H34)</f>
        <v>0.30000000000000004</v>
      </c>
      <c r="I35" s="149">
        <f>SUM(F32:H34)</f>
        <v>1</v>
      </c>
      <c r="O35" s="173"/>
    </row>
    <row r="36" spans="3:16">
      <c r="O36" s="173"/>
    </row>
    <row r="37" spans="3:16">
      <c r="C37" s="205" t="str">
        <f>"P( X=1 ∩ Y=1 ) = "&amp;TEXT(F32,"0.0%")&amp;" = P(X=1) * P( Y=1 | X=1 ) = "&amp;TEXT(I32,"0.0%")&amp;" * ("&amp;TEXT(F32,"0.0%")&amp;" / "&amp;TEXT(I32,"0.0%")&amp;")"</f>
        <v>P( X=1 ∩ Y=1 ) = 6.0% = P(X=1) * P( Y=1 | X=1 ) = 30.0% * (6.0% / 30.0%)</v>
      </c>
      <c r="D37" s="205"/>
      <c r="E37" s="206"/>
      <c r="F37" s="206"/>
      <c r="G37" s="206"/>
      <c r="H37" s="206"/>
      <c r="I37" s="207"/>
      <c r="O37" s="173"/>
    </row>
    <row r="38" spans="3:16">
      <c r="C38" s="205" t="str">
        <f>"P( X=1 ∩ Y=1 ) = "&amp;TEXT(F32,"0.0%")&amp;" = P(Y=1) * P( X=1 | Y=1 ) = "&amp;TEXT(F35,"0.0%")&amp;" * ("&amp;TEXT(F32,"0.0%")&amp;" / "&amp;TEXT(F35,"0.0%")&amp;")"</f>
        <v>P( X=1 ∩ Y=1 ) = 6.0% = P(Y=1) * P( X=1 | Y=1 ) = 20.0% * (6.0% / 20.0%)</v>
      </c>
      <c r="D38" s="205"/>
      <c r="E38" s="206"/>
      <c r="F38" s="206"/>
      <c r="G38" s="206"/>
      <c r="H38" s="206"/>
      <c r="I38" s="206"/>
      <c r="O38" s="173"/>
    </row>
    <row r="39" spans="3:16">
      <c r="O39" s="173"/>
    </row>
    <row r="40" spans="3:16">
      <c r="C40" s="205" t="str">
        <f>"P( X=2 ∩ Y=3 ) = "&amp;TEXT(H33,"0.0%")&amp;" = P(X=2) * P( Y=3 | X=2 ) = "&amp;TEXT(I33,"0.0%")&amp;" * ("&amp;TEXT(H33,"0.0%")&amp;" / "&amp;TEXT(I33,"0.0%")&amp;")"</f>
        <v>P( X=2 ∩ Y=3 ) = 18.0% = P(X=2) * P( Y=3 | X=2 ) = 60.0% * (18.0% / 60.0%)</v>
      </c>
      <c r="D40" s="205"/>
      <c r="E40" s="205"/>
      <c r="F40" s="205"/>
      <c r="G40" s="205"/>
      <c r="H40" s="205"/>
      <c r="I40" s="205"/>
      <c r="O40" s="173"/>
    </row>
    <row r="41" spans="3:16">
      <c r="C41" s="205" t="str">
        <f>"P( X=2 ∩ Y=3 ) = "&amp;TEXT(H33,"0.0%")&amp;" = P(Y=3) * P( X=2 | Y=3 ) = "&amp;TEXT(H35,"0.0%")&amp;" * ("&amp;TEXT(H33,"0.0%")&amp;" / "&amp;TEXT(H35,"0.0%")&amp;")"</f>
        <v>P( X=2 ∩ Y=3 ) = 18.0% = P(Y=3) * P( X=2 | Y=3 ) = 30.0% * (18.0% / 30.0%)</v>
      </c>
      <c r="D41" s="205"/>
      <c r="E41" s="205"/>
      <c r="F41" s="205"/>
      <c r="G41" s="205"/>
      <c r="H41" s="205"/>
      <c r="I41" s="205"/>
      <c r="O41" s="173"/>
    </row>
    <row r="42" spans="3:16">
      <c r="P42" s="170"/>
    </row>
    <row r="43" spans="3:16">
      <c r="P43" s="170"/>
    </row>
    <row r="45" spans="3:16">
      <c r="C45" s="162" t="s">
        <v>148</v>
      </c>
      <c r="D45" s="162"/>
      <c r="E45" s="162"/>
      <c r="F45" s="162"/>
      <c r="G45" s="162"/>
      <c r="H45" s="162"/>
      <c r="I45" s="162"/>
      <c r="O45" s="172" t="s">
        <v>155</v>
      </c>
    </row>
    <row r="46" spans="3:16">
      <c r="C46" s="162" t="s">
        <v>150</v>
      </c>
      <c r="D46" s="162"/>
      <c r="E46" s="162"/>
      <c r="F46" s="162"/>
      <c r="G46" s="162"/>
      <c r="H46" s="162"/>
      <c r="I46" s="162"/>
      <c r="O46" s="173" t="s">
        <v>164</v>
      </c>
    </row>
    <row r="47" spans="3:16">
      <c r="C47" s="35"/>
      <c r="D47" s="35"/>
      <c r="E47" s="35"/>
      <c r="F47" s="72" t="s">
        <v>119</v>
      </c>
      <c r="G47" s="72"/>
      <c r="H47" s="72"/>
      <c r="O47" s="173" t="s">
        <v>162</v>
      </c>
    </row>
    <row r="48" spans="3:16">
      <c r="C48" s="35"/>
      <c r="D48" s="35"/>
      <c r="E48" s="35"/>
      <c r="F48" s="41" t="s">
        <v>128</v>
      </c>
      <c r="G48" s="41"/>
      <c r="H48" s="41" t="s">
        <v>129</v>
      </c>
      <c r="I48" s="41"/>
      <c r="O48" s="173" t="s">
        <v>163</v>
      </c>
    </row>
    <row r="49" spans="3:15">
      <c r="C49" s="35"/>
      <c r="D49" s="35"/>
      <c r="E49" s="35"/>
      <c r="F49" s="41" t="s">
        <v>136</v>
      </c>
      <c r="G49" s="41"/>
      <c r="H49" s="41" t="s">
        <v>137</v>
      </c>
      <c r="I49" s="36"/>
      <c r="O49" s="173"/>
    </row>
    <row r="50" spans="3:15">
      <c r="C50" s="589" t="s">
        <v>118</v>
      </c>
      <c r="D50" s="189"/>
      <c r="E50" s="41" t="s">
        <v>143</v>
      </c>
      <c r="F50" s="171">
        <v>0.15</v>
      </c>
      <c r="G50" s="208"/>
      <c r="H50" s="164">
        <v>0.05</v>
      </c>
      <c r="I50" s="168">
        <f>SUM(F50:H50)</f>
        <v>0.2</v>
      </c>
      <c r="O50" s="173"/>
    </row>
    <row r="51" spans="3:15">
      <c r="C51" s="589"/>
      <c r="D51" s="189"/>
      <c r="E51" s="41" t="s">
        <v>146</v>
      </c>
      <c r="F51" s="169">
        <v>0.3</v>
      </c>
      <c r="G51" s="202"/>
      <c r="H51" s="165">
        <v>0.25</v>
      </c>
      <c r="I51" s="53">
        <f>SUM(F51:H51)</f>
        <v>0.55000000000000004</v>
      </c>
      <c r="O51" s="173"/>
    </row>
    <row r="52" spans="3:15">
      <c r="C52" s="589"/>
      <c r="D52" s="189"/>
      <c r="E52" s="41" t="s">
        <v>144</v>
      </c>
      <c r="F52" s="166">
        <v>0.05</v>
      </c>
      <c r="G52" s="204"/>
      <c r="H52" s="167">
        <v>0.2</v>
      </c>
      <c r="I52" s="181">
        <f>SUM(F52:H52)</f>
        <v>0.25</v>
      </c>
      <c r="O52" s="173"/>
    </row>
    <row r="53" spans="3:15">
      <c r="C53" s="35"/>
      <c r="D53" s="35"/>
      <c r="E53" s="66"/>
      <c r="F53" s="180">
        <f>SUM(F50:F52)</f>
        <v>0.49999999999999994</v>
      </c>
      <c r="G53" s="180"/>
      <c r="H53" s="53">
        <f>SUM(H50:H52)</f>
        <v>0.5</v>
      </c>
      <c r="I53" s="149">
        <f>SUM(F50:H52)</f>
        <v>1</v>
      </c>
      <c r="O53" s="173"/>
    </row>
    <row r="54" spans="3:15">
      <c r="O54" s="173"/>
    </row>
    <row r="55" spans="3:15">
      <c r="C55" s="174" t="str">
        <f>"P[B↓] = "&amp;TEXT(I52,"0.0%")&amp;" = P[B↓ ∩ O] +  P[B↓ ∩ U]= "&amp;TEXT(F52,"0.0%")&amp;" + "&amp;TEXT(H52,"0.0%")</f>
        <v>P[B↓] = 25.0% = P[B↓ ∩ O] +  P[B↓ ∩ U]= 5.0% + 20.0%</v>
      </c>
      <c r="D55" s="174"/>
      <c r="E55" s="175"/>
      <c r="F55" s="175"/>
      <c r="G55" s="175"/>
      <c r="H55" s="175"/>
      <c r="I55" s="176"/>
      <c r="O55" s="173"/>
    </row>
    <row r="56" spans="3:15">
      <c r="C56" s="179" t="str">
        <f>"P[O] = "&amp;TEXT(F53,"0.0%")&amp;" = P[B↑∩O] + P[B↔∩O] + P[B↓∩O]= "&amp;TEXT(F50,"0%")&amp;" + "&amp;TEXT(F51,"0%")&amp;" + "&amp;TEXT(F52,"0%")</f>
        <v>P[O] = 50.0% = P[B↑∩O] + P[B↔∩O] + P[B↓∩O]= 15% + 30% + 5%</v>
      </c>
      <c r="D56" s="179"/>
      <c r="E56" s="179"/>
      <c r="F56" s="179"/>
      <c r="G56" s="179"/>
      <c r="H56" s="179"/>
      <c r="I56" s="179"/>
      <c r="O56" s="173"/>
    </row>
  </sheetData>
  <mergeCells count="4">
    <mergeCell ref="C10:C12"/>
    <mergeCell ref="S10:S12"/>
    <mergeCell ref="C32:C34"/>
    <mergeCell ref="C50:C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1CC4-EE82-464A-89B3-93E9F2AC1C14}">
  <sheetPr codeName="Sheet6"/>
  <dimension ref="A1:W56"/>
  <sheetViews>
    <sheetView showGridLines="0" workbookViewId="0">
      <selection activeCell="K26" sqref="K26"/>
    </sheetView>
  </sheetViews>
  <sheetFormatPr defaultRowHeight="14.4"/>
  <cols>
    <col min="2" max="2" width="4.44140625" customWidth="1"/>
    <col min="3" max="3" width="9.88671875" customWidth="1"/>
    <col min="4" max="5" width="3.6640625" customWidth="1"/>
    <col min="6" max="9" width="12.6640625" customWidth="1"/>
    <col min="10" max="10" width="7.5546875" customWidth="1"/>
    <col min="20" max="23" width="12.6640625" customWidth="1"/>
    <col min="24" max="24" width="7.5546875" customWidth="1"/>
  </cols>
  <sheetData>
    <row r="1" spans="1:23" s="155" customFormat="1">
      <c r="A1" s="156" t="s">
        <v>120</v>
      </c>
    </row>
    <row r="2" spans="1:23" s="155" customFormat="1">
      <c r="A2" s="155" t="s">
        <v>152</v>
      </c>
    </row>
    <row r="5" spans="1:23">
      <c r="C5" s="162" t="s">
        <v>142</v>
      </c>
      <c r="D5" s="162"/>
      <c r="E5" s="162"/>
      <c r="F5" s="162"/>
      <c r="G5" s="162"/>
      <c r="H5" s="162"/>
      <c r="I5" s="162"/>
      <c r="O5" s="172" t="s">
        <v>153</v>
      </c>
      <c r="S5" s="162" t="s">
        <v>142</v>
      </c>
      <c r="T5" s="162"/>
      <c r="U5" s="162"/>
      <c r="V5" s="162"/>
      <c r="W5" s="162"/>
    </row>
    <row r="6" spans="1:23">
      <c r="C6" s="162" t="s">
        <v>135</v>
      </c>
      <c r="D6" s="162"/>
      <c r="E6" s="162"/>
      <c r="F6" s="162"/>
      <c r="G6" s="162"/>
      <c r="H6" s="162"/>
      <c r="I6" s="162"/>
      <c r="O6" s="173" t="s">
        <v>156</v>
      </c>
      <c r="S6" s="162" t="s">
        <v>135</v>
      </c>
      <c r="T6" s="162"/>
      <c r="U6" s="162"/>
      <c r="V6" s="162"/>
      <c r="W6" s="162"/>
    </row>
    <row r="7" spans="1:23">
      <c r="C7" s="35"/>
      <c r="D7" s="35"/>
      <c r="E7" s="35"/>
      <c r="F7" s="186"/>
      <c r="G7" s="186"/>
      <c r="H7" s="186"/>
      <c r="O7" s="173" t="s">
        <v>157</v>
      </c>
      <c r="S7" s="35"/>
      <c r="T7" s="35"/>
      <c r="U7" s="186"/>
      <c r="V7" s="186"/>
    </row>
    <row r="8" spans="1:23">
      <c r="C8" s="35"/>
      <c r="D8" s="35"/>
      <c r="E8" s="35"/>
      <c r="F8" s="187" t="s">
        <v>100</v>
      </c>
      <c r="G8" s="187"/>
      <c r="H8" s="187"/>
      <c r="I8" s="41" t="s">
        <v>141</v>
      </c>
      <c r="O8" s="173" t="s">
        <v>158</v>
      </c>
      <c r="S8" s="35"/>
      <c r="T8" s="35"/>
      <c r="U8" s="187" t="s">
        <v>186</v>
      </c>
      <c r="V8" s="187"/>
      <c r="W8" s="41"/>
    </row>
    <row r="9" spans="1:23">
      <c r="C9" s="35"/>
      <c r="D9" s="35"/>
      <c r="E9" s="35"/>
      <c r="F9" s="99">
        <v>1</v>
      </c>
      <c r="G9" s="99">
        <v>2</v>
      </c>
      <c r="H9" s="99">
        <v>3</v>
      </c>
      <c r="I9" s="41" t="s">
        <v>187</v>
      </c>
      <c r="O9" s="173" t="s">
        <v>159</v>
      </c>
      <c r="S9" s="35"/>
      <c r="T9" s="35"/>
      <c r="U9" s="141" t="s">
        <v>188</v>
      </c>
      <c r="V9" s="141" t="s">
        <v>189</v>
      </c>
      <c r="W9" s="188" t="s">
        <v>102</v>
      </c>
    </row>
    <row r="10" spans="1:23">
      <c r="C10" s="590"/>
      <c r="D10" s="190"/>
      <c r="E10" s="188">
        <v>1</v>
      </c>
      <c r="F10" s="191">
        <v>0.06</v>
      </c>
      <c r="G10" s="192">
        <v>0.15</v>
      </c>
      <c r="H10" s="145">
        <v>0.09</v>
      </c>
      <c r="I10" s="47">
        <f>SUM(F10:H10)</f>
        <v>0.3</v>
      </c>
      <c r="O10" s="173" t="s">
        <v>160</v>
      </c>
      <c r="S10" s="591" t="s">
        <v>190</v>
      </c>
      <c r="T10" s="148" t="s">
        <v>191</v>
      </c>
      <c r="U10" s="142">
        <v>0.25</v>
      </c>
      <c r="V10" s="145">
        <v>0.03</v>
      </c>
      <c r="W10" s="56">
        <f>SUM(U10:V10)</f>
        <v>0.28000000000000003</v>
      </c>
    </row>
    <row r="11" spans="1:23">
      <c r="C11" s="590"/>
      <c r="D11" s="190" t="s">
        <v>11</v>
      </c>
      <c r="E11" s="188">
        <v>2</v>
      </c>
      <c r="F11" s="193">
        <v>0.12</v>
      </c>
      <c r="G11" s="194">
        <v>0.3</v>
      </c>
      <c r="H11" s="146">
        <v>0.18</v>
      </c>
      <c r="I11" s="47">
        <f t="shared" ref="I11:I12" si="0">SUM(F11:H11)</f>
        <v>0.6</v>
      </c>
      <c r="O11" s="173"/>
      <c r="S11" s="591"/>
      <c r="T11" s="148" t="s">
        <v>192</v>
      </c>
      <c r="U11" s="142">
        <v>0.23</v>
      </c>
      <c r="V11" s="146">
        <v>0.18</v>
      </c>
      <c r="W11" s="56">
        <f>SUM(U11:V11)</f>
        <v>0.41000000000000003</v>
      </c>
    </row>
    <row r="12" spans="1:23">
      <c r="C12" s="590"/>
      <c r="D12" s="190"/>
      <c r="E12" s="188">
        <v>3</v>
      </c>
      <c r="F12" s="144">
        <v>0.02</v>
      </c>
      <c r="G12" s="195">
        <v>0.05</v>
      </c>
      <c r="H12" s="147">
        <v>0.03</v>
      </c>
      <c r="I12" s="196">
        <f t="shared" si="0"/>
        <v>0.1</v>
      </c>
      <c r="O12" s="173"/>
      <c r="S12" s="591"/>
      <c r="T12" s="148" t="s">
        <v>193</v>
      </c>
      <c r="U12" s="144">
        <v>0.05</v>
      </c>
      <c r="V12" s="147">
        <v>0.26</v>
      </c>
      <c r="W12" s="56">
        <f>SUM(U12:V12)</f>
        <v>0.31</v>
      </c>
    </row>
    <row r="13" spans="1:23">
      <c r="C13" s="35"/>
      <c r="D13" s="35"/>
      <c r="E13" s="197" t="s">
        <v>194</v>
      </c>
      <c r="F13" s="49">
        <f>F10+F11+F12</f>
        <v>0.19999999999999998</v>
      </c>
      <c r="G13" s="49">
        <f t="shared" ref="G13:H13" si="1">G10+G11+G12</f>
        <v>0.49999999999999994</v>
      </c>
      <c r="H13" s="198">
        <f t="shared" si="1"/>
        <v>0.30000000000000004</v>
      </c>
      <c r="I13" s="53">
        <f>SUM(F10:H12)</f>
        <v>1</v>
      </c>
      <c r="O13" s="173"/>
      <c r="S13" s="35"/>
      <c r="T13" s="99" t="s">
        <v>102</v>
      </c>
      <c r="U13" s="150">
        <f>SUM(U10:U12)</f>
        <v>0.53</v>
      </c>
      <c r="V13" s="150">
        <f>SUM(V10:V12)</f>
        <v>0.47</v>
      </c>
      <c r="W13" s="149">
        <f>SUM(U10:V12)</f>
        <v>1</v>
      </c>
    </row>
    <row r="14" spans="1:23">
      <c r="O14" s="173"/>
    </row>
    <row r="15" spans="1:23">
      <c r="O15" s="173"/>
      <c r="U15" s="99" t="s">
        <v>139</v>
      </c>
      <c r="V15" s="99" t="s">
        <v>195</v>
      </c>
    </row>
    <row r="16" spans="1:23">
      <c r="C16" s="162" t="s">
        <v>165</v>
      </c>
      <c r="D16" s="162"/>
      <c r="E16" s="162"/>
      <c r="F16" s="162"/>
      <c r="G16" s="162"/>
      <c r="H16" s="162"/>
      <c r="I16" s="162"/>
      <c r="O16" s="173"/>
      <c r="T16" s="199" t="s">
        <v>196</v>
      </c>
      <c r="U16" s="163">
        <f>U13</f>
        <v>0.53</v>
      </c>
      <c r="V16" s="163">
        <f>V13</f>
        <v>0.47</v>
      </c>
    </row>
    <row r="17" spans="3:23">
      <c r="C17" s="162" t="s">
        <v>151</v>
      </c>
      <c r="D17" s="162"/>
      <c r="E17" s="162"/>
      <c r="F17" s="162"/>
      <c r="G17" s="162"/>
      <c r="H17" s="162"/>
      <c r="I17" s="162"/>
      <c r="O17" s="173"/>
      <c r="T17" s="66" t="s">
        <v>197</v>
      </c>
      <c r="U17" s="53">
        <f t="shared" ref="U17:V19" si="2">U10/U$13</f>
        <v>0.47169811320754712</v>
      </c>
      <c r="V17" s="53">
        <f t="shared" si="2"/>
        <v>6.3829787234042548E-2</v>
      </c>
      <c r="W17" s="154" t="s">
        <v>198</v>
      </c>
    </row>
    <row r="18" spans="3:23">
      <c r="O18" s="173"/>
      <c r="T18" s="66" t="s">
        <v>199</v>
      </c>
      <c r="U18" s="53">
        <f t="shared" si="2"/>
        <v>0.43396226415094341</v>
      </c>
      <c r="V18" s="53">
        <f t="shared" si="2"/>
        <v>0.38297872340425532</v>
      </c>
      <c r="W18" s="154" t="s">
        <v>200</v>
      </c>
    </row>
    <row r="19" spans="3:23">
      <c r="F19" s="187" t="str">
        <f>"Y = "&amp;F9</f>
        <v>Y = 1</v>
      </c>
      <c r="G19" s="187" t="str">
        <f t="shared" ref="G19:H19" si="3">"Y = "&amp;G9</f>
        <v>Y = 2</v>
      </c>
      <c r="H19" s="187" t="str">
        <f t="shared" si="3"/>
        <v>Y = 3</v>
      </c>
      <c r="O19" s="173"/>
      <c r="T19" s="66" t="s">
        <v>201</v>
      </c>
      <c r="U19" s="126">
        <f t="shared" si="2"/>
        <v>9.4339622641509441E-2</v>
      </c>
      <c r="V19" s="53">
        <f t="shared" si="2"/>
        <v>0.55319148936170215</v>
      </c>
      <c r="W19" s="154" t="s">
        <v>202</v>
      </c>
    </row>
    <row r="20" spans="3:23">
      <c r="F20" s="163">
        <f>F13</f>
        <v>0.19999999999999998</v>
      </c>
      <c r="G20" s="163">
        <f>G13</f>
        <v>0.49999999999999994</v>
      </c>
      <c r="H20" s="163">
        <f>H13</f>
        <v>0.30000000000000004</v>
      </c>
      <c r="O20" s="173"/>
    </row>
    <row r="21" spans="3:23">
      <c r="E21" s="66" t="s">
        <v>203</v>
      </c>
      <c r="F21" s="53">
        <f t="shared" ref="F21:H23" si="4">F10/F$13</f>
        <v>0.3</v>
      </c>
      <c r="G21" s="53">
        <f t="shared" si="4"/>
        <v>0.30000000000000004</v>
      </c>
      <c r="H21" s="53">
        <f t="shared" si="4"/>
        <v>0.29999999999999993</v>
      </c>
      <c r="I21" s="154" t="s">
        <v>204</v>
      </c>
      <c r="O21" s="173"/>
    </row>
    <row r="22" spans="3:23">
      <c r="E22" s="66" t="s">
        <v>205</v>
      </c>
      <c r="F22" s="53">
        <f t="shared" si="4"/>
        <v>0.6</v>
      </c>
      <c r="G22" s="53">
        <f t="shared" si="4"/>
        <v>0.60000000000000009</v>
      </c>
      <c r="H22" s="53">
        <f t="shared" si="4"/>
        <v>0.59999999999999987</v>
      </c>
      <c r="I22" s="154" t="s">
        <v>206</v>
      </c>
      <c r="O22" s="173"/>
    </row>
    <row r="23" spans="3:23">
      <c r="E23" s="66" t="s">
        <v>207</v>
      </c>
      <c r="F23" s="53">
        <f t="shared" si="4"/>
        <v>0.1</v>
      </c>
      <c r="G23" s="53">
        <f t="shared" si="4"/>
        <v>0.10000000000000002</v>
      </c>
      <c r="H23" s="53">
        <f t="shared" si="4"/>
        <v>9.9999999999999978E-2</v>
      </c>
      <c r="I23" s="154" t="s">
        <v>208</v>
      </c>
      <c r="O23" s="173"/>
    </row>
    <row r="24" spans="3:23">
      <c r="E24" s="66"/>
      <c r="F24" s="53"/>
      <c r="G24" s="53"/>
      <c r="H24" s="53"/>
      <c r="I24" s="154"/>
    </row>
    <row r="27" spans="3:23">
      <c r="C27" s="162" t="s">
        <v>147</v>
      </c>
      <c r="D27" s="162"/>
      <c r="E27" s="162"/>
      <c r="F27" s="162"/>
      <c r="G27" s="162"/>
      <c r="H27" s="162"/>
      <c r="I27" s="162"/>
      <c r="O27" s="172" t="s">
        <v>154</v>
      </c>
    </row>
    <row r="28" spans="3:23">
      <c r="C28" s="162" t="s">
        <v>149</v>
      </c>
      <c r="D28" s="162"/>
      <c r="E28" s="162"/>
      <c r="F28" s="162"/>
      <c r="G28" s="162"/>
      <c r="H28" s="162"/>
      <c r="I28" s="162"/>
      <c r="O28" s="173" t="s">
        <v>161</v>
      </c>
    </row>
    <row r="29" spans="3:23">
      <c r="C29" s="35"/>
      <c r="D29" s="35"/>
      <c r="E29" s="35"/>
      <c r="F29" s="35"/>
      <c r="G29" s="35"/>
      <c r="H29" s="35"/>
      <c r="I29" s="35"/>
      <c r="O29" s="173" t="s">
        <v>162</v>
      </c>
    </row>
    <row r="30" spans="3:23">
      <c r="C30" s="35"/>
      <c r="D30" s="35"/>
      <c r="E30" s="35"/>
      <c r="F30" s="187" t="s">
        <v>100</v>
      </c>
      <c r="G30" s="187"/>
      <c r="H30" s="187"/>
      <c r="I30" s="41"/>
      <c r="O30" s="173" t="s">
        <v>163</v>
      </c>
    </row>
    <row r="31" spans="3:23">
      <c r="C31" s="35"/>
      <c r="D31" s="35"/>
      <c r="E31" s="35"/>
      <c r="F31" s="200">
        <v>1</v>
      </c>
      <c r="G31" s="200">
        <v>2</v>
      </c>
      <c r="H31" s="200">
        <v>3</v>
      </c>
      <c r="I31" s="41"/>
      <c r="O31" s="173"/>
    </row>
    <row r="32" spans="3:23">
      <c r="C32" s="590"/>
      <c r="D32" s="190"/>
      <c r="E32" s="188">
        <v>1</v>
      </c>
      <c r="F32" s="201">
        <f>F10</f>
        <v>0.06</v>
      </c>
      <c r="G32" s="202">
        <f t="shared" ref="G32:H32" si="5">G10</f>
        <v>0.15</v>
      </c>
      <c r="H32" s="165">
        <f t="shared" si="5"/>
        <v>0.09</v>
      </c>
      <c r="I32" s="53">
        <f>SUM(F32:H32)</f>
        <v>0.3</v>
      </c>
      <c r="O32" s="173"/>
    </row>
    <row r="33" spans="3:16">
      <c r="C33" s="590"/>
      <c r="D33" s="190" t="s">
        <v>11</v>
      </c>
      <c r="E33" s="188">
        <v>2</v>
      </c>
      <c r="F33" s="169">
        <f t="shared" ref="F33:H34" si="6">F11</f>
        <v>0.12</v>
      </c>
      <c r="G33" s="202">
        <f t="shared" si="6"/>
        <v>0.3</v>
      </c>
      <c r="H33" s="203">
        <f t="shared" si="6"/>
        <v>0.18</v>
      </c>
      <c r="I33" s="53">
        <f>SUM(F33:H33)</f>
        <v>0.6</v>
      </c>
      <c r="K33" s="170"/>
      <c r="O33" s="173"/>
    </row>
    <row r="34" spans="3:16">
      <c r="C34" s="590"/>
      <c r="D34" s="190"/>
      <c r="E34" s="188">
        <v>3</v>
      </c>
      <c r="F34" s="166">
        <f t="shared" si="6"/>
        <v>0.02</v>
      </c>
      <c r="G34" s="204">
        <f t="shared" si="6"/>
        <v>0.05</v>
      </c>
      <c r="H34" s="167">
        <f t="shared" si="6"/>
        <v>0.03</v>
      </c>
      <c r="I34" s="53">
        <f>SUM(F34:H34)</f>
        <v>0.1</v>
      </c>
      <c r="O34" s="173"/>
    </row>
    <row r="35" spans="3:16">
      <c r="C35" s="35"/>
      <c r="D35" s="35"/>
      <c r="E35" s="66"/>
      <c r="F35" s="53">
        <f>SUM(F32:F34)</f>
        <v>0.19999999999999998</v>
      </c>
      <c r="G35" s="53"/>
      <c r="H35" s="53">
        <f>SUM(H32:H34)</f>
        <v>0.30000000000000004</v>
      </c>
      <c r="I35" s="149">
        <f>SUM(F32:H34)</f>
        <v>1</v>
      </c>
      <c r="O35" s="173"/>
    </row>
    <row r="36" spans="3:16">
      <c r="O36" s="173"/>
    </row>
    <row r="37" spans="3:16">
      <c r="C37" s="205" t="str">
        <f>"P( X=1 ∩ Y=1 ) = "&amp;TEXT(F32,"0.0%")&amp;" = P(X=1) * P( Y=1 | X=1 ) = "&amp;TEXT(I32,"0.0%")&amp;" * ("&amp;TEXT(F32,"0.0%")&amp;" / "&amp;TEXT(I32,"0.0%")&amp;")"</f>
        <v>P( X=1 ∩ Y=1 ) = 6.0% = P(X=1) * P( Y=1 | X=1 ) = 30.0% * (6.0% / 30.0%)</v>
      </c>
      <c r="D37" s="205"/>
      <c r="E37" s="206"/>
      <c r="F37" s="206"/>
      <c r="G37" s="206"/>
      <c r="H37" s="206"/>
      <c r="I37" s="207"/>
      <c r="O37" s="173"/>
    </row>
    <row r="38" spans="3:16">
      <c r="C38" s="205" t="str">
        <f>"P( X=1 ∩ Y=1 ) = "&amp;TEXT(F32,"0.0%")&amp;" = P(Y=1) * P( X=1 | Y=1 ) = "&amp;TEXT(F35,"0.0%")&amp;" * ("&amp;TEXT(F32,"0.0%")&amp;" / "&amp;TEXT(F35,"0.0%")&amp;")"</f>
        <v>P( X=1 ∩ Y=1 ) = 6.0% = P(Y=1) * P( X=1 | Y=1 ) = 20.0% * (6.0% / 20.0%)</v>
      </c>
      <c r="D38" s="205"/>
      <c r="E38" s="206"/>
      <c r="F38" s="206"/>
      <c r="G38" s="206"/>
      <c r="H38" s="206"/>
      <c r="I38" s="206"/>
      <c r="O38" s="173"/>
    </row>
    <row r="39" spans="3:16">
      <c r="O39" s="173"/>
    </row>
    <row r="40" spans="3:16">
      <c r="C40" s="205" t="str">
        <f>"P( X=2 ∩ Y=3 ) = "&amp;TEXT(H33,"0.0%")&amp;" = P(X=2) * P( Y=3 | X=2 ) = "&amp;TEXT(I33,"0.0%")&amp;" * ("&amp;TEXT(H33,"0.0%")&amp;" / "&amp;TEXT(I33,"0.0%")&amp;")"</f>
        <v>P( X=2 ∩ Y=3 ) = 18.0% = P(X=2) * P( Y=3 | X=2 ) = 60.0% * (18.0% / 60.0%)</v>
      </c>
      <c r="D40" s="205"/>
      <c r="E40" s="205"/>
      <c r="F40" s="205"/>
      <c r="G40" s="205"/>
      <c r="H40" s="205"/>
      <c r="I40" s="205"/>
      <c r="O40" s="173"/>
    </row>
    <row r="41" spans="3:16">
      <c r="C41" s="205" t="str">
        <f>"P( X=2 ∩ Y=3 ) = "&amp;TEXT(H33,"0.0%")&amp;" = P(Y=3) * P( X=2 | Y=3 ) = "&amp;TEXT(H35,"0.0%")&amp;" * ("&amp;TEXT(H33,"0.0%")&amp;" / "&amp;TEXT(H35,"0.0%")&amp;")"</f>
        <v>P( X=2 ∩ Y=3 ) = 18.0% = P(Y=3) * P( X=2 | Y=3 ) = 30.0% * (18.0% / 30.0%)</v>
      </c>
      <c r="D41" s="205"/>
      <c r="E41" s="205"/>
      <c r="F41" s="205"/>
      <c r="G41" s="205"/>
      <c r="H41" s="205"/>
      <c r="I41" s="205"/>
      <c r="O41" s="173"/>
    </row>
    <row r="42" spans="3:16">
      <c r="P42" s="170"/>
    </row>
    <row r="43" spans="3:16">
      <c r="P43" s="170"/>
    </row>
    <row r="45" spans="3:16">
      <c r="C45" s="162" t="s">
        <v>148</v>
      </c>
      <c r="D45" s="162"/>
      <c r="E45" s="162"/>
      <c r="F45" s="162"/>
      <c r="G45" s="162"/>
      <c r="H45" s="162"/>
      <c r="I45" s="162"/>
      <c r="O45" s="172" t="s">
        <v>155</v>
      </c>
    </row>
    <row r="46" spans="3:16">
      <c r="C46" s="162" t="s">
        <v>150</v>
      </c>
      <c r="D46" s="162"/>
      <c r="E46" s="162"/>
      <c r="F46" s="162"/>
      <c r="G46" s="162"/>
      <c r="H46" s="162"/>
      <c r="I46" s="162"/>
      <c r="O46" s="173" t="s">
        <v>164</v>
      </c>
    </row>
    <row r="47" spans="3:16">
      <c r="C47" s="35"/>
      <c r="D47" s="35"/>
      <c r="E47" s="35"/>
      <c r="F47" s="72" t="s">
        <v>119</v>
      </c>
      <c r="G47" s="72"/>
      <c r="H47" s="72"/>
      <c r="O47" s="173" t="s">
        <v>162</v>
      </c>
    </row>
    <row r="48" spans="3:16">
      <c r="C48" s="35"/>
      <c r="D48" s="35"/>
      <c r="E48" s="35"/>
      <c r="F48" s="41" t="s">
        <v>128</v>
      </c>
      <c r="G48" s="41"/>
      <c r="H48" s="41" t="s">
        <v>129</v>
      </c>
      <c r="I48" s="41"/>
      <c r="O48" s="173" t="s">
        <v>163</v>
      </c>
    </row>
    <row r="49" spans="3:15">
      <c r="C49" s="35"/>
      <c r="D49" s="35"/>
      <c r="E49" s="35"/>
      <c r="F49" s="41" t="s">
        <v>136</v>
      </c>
      <c r="G49" s="41"/>
      <c r="H49" s="41" t="s">
        <v>137</v>
      </c>
      <c r="I49" s="36"/>
      <c r="O49" s="173"/>
    </row>
    <row r="50" spans="3:15">
      <c r="C50" s="589" t="s">
        <v>118</v>
      </c>
      <c r="D50" s="189"/>
      <c r="E50" s="41" t="s">
        <v>143</v>
      </c>
      <c r="F50" s="171">
        <v>0.15</v>
      </c>
      <c r="G50" s="208"/>
      <c r="H50" s="164">
        <v>0.05</v>
      </c>
      <c r="I50" s="168">
        <f>SUM(F50:H50)</f>
        <v>0.2</v>
      </c>
      <c r="O50" s="173"/>
    </row>
    <row r="51" spans="3:15">
      <c r="C51" s="589"/>
      <c r="D51" s="189"/>
      <c r="E51" s="41" t="s">
        <v>146</v>
      </c>
      <c r="F51" s="169">
        <v>0.3</v>
      </c>
      <c r="G51" s="202"/>
      <c r="H51" s="165">
        <v>0.25</v>
      </c>
      <c r="I51" s="53">
        <f>SUM(F51:H51)</f>
        <v>0.55000000000000004</v>
      </c>
      <c r="O51" s="173"/>
    </row>
    <row r="52" spans="3:15">
      <c r="C52" s="589"/>
      <c r="D52" s="189"/>
      <c r="E52" s="41" t="s">
        <v>144</v>
      </c>
      <c r="F52" s="166">
        <v>0.05</v>
      </c>
      <c r="G52" s="204"/>
      <c r="H52" s="167">
        <v>0.2</v>
      </c>
      <c r="I52" s="181">
        <f>SUM(F52:H52)</f>
        <v>0.25</v>
      </c>
      <c r="O52" s="173"/>
    </row>
    <row r="53" spans="3:15">
      <c r="C53" s="35"/>
      <c r="D53" s="35"/>
      <c r="E53" s="66"/>
      <c r="F53" s="180">
        <f>SUM(F50:F52)</f>
        <v>0.49999999999999994</v>
      </c>
      <c r="G53" s="180"/>
      <c r="H53" s="53">
        <f>SUM(H50:H52)</f>
        <v>0.5</v>
      </c>
      <c r="I53" s="149">
        <f>SUM(F50:H52)</f>
        <v>1</v>
      </c>
      <c r="O53" s="173"/>
    </row>
    <row r="54" spans="3:15">
      <c r="O54" s="173"/>
    </row>
    <row r="55" spans="3:15">
      <c r="C55" s="174" t="str">
        <f>"P[B↓] = "&amp;TEXT(I52,"0.0%")&amp;" = P[B↓ ∩ O] +  P[B↓ ∩ U]= "&amp;TEXT(F52,"0.0%")&amp;" + "&amp;TEXT(H52,"0.0%")</f>
        <v>P[B↓] = 25.0% = P[B↓ ∩ O] +  P[B↓ ∩ U]= 5.0% + 20.0%</v>
      </c>
      <c r="D55" s="174"/>
      <c r="E55" s="175"/>
      <c r="F55" s="175"/>
      <c r="G55" s="175"/>
      <c r="H55" s="175"/>
      <c r="I55" s="176"/>
      <c r="O55" s="173"/>
    </row>
    <row r="56" spans="3:15">
      <c r="C56" s="179" t="str">
        <f>"P[O] = "&amp;TEXT(F53,"0.0%")&amp;" = P[B↑∩O] + P[B↔∩O] + P[B↓∩O]= "&amp;TEXT(F50,"0%")&amp;" + "&amp;TEXT(F51,"0%")&amp;" + "&amp;TEXT(F52,"0%")</f>
        <v>P[O] = 50.0% = P[B↑∩O] + P[B↔∩O] + P[B↓∩O]= 15% + 30% + 5%</v>
      </c>
      <c r="D56" s="179"/>
      <c r="E56" s="179"/>
      <c r="F56" s="179"/>
      <c r="G56" s="179"/>
      <c r="H56" s="179"/>
      <c r="I56" s="179"/>
      <c r="O56" s="173"/>
    </row>
  </sheetData>
  <mergeCells count="4">
    <mergeCell ref="C10:C12"/>
    <mergeCell ref="S10:S12"/>
    <mergeCell ref="C32:C34"/>
    <mergeCell ref="C50:C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4E0C-A949-4809-9B35-7CA93E382EA7}">
  <sheetPr codeName="Sheet7"/>
  <dimension ref="A1:W56"/>
  <sheetViews>
    <sheetView showGridLines="0" topLeftCell="A34" workbookViewId="0">
      <selection sqref="A1:XFD1048576"/>
    </sheetView>
  </sheetViews>
  <sheetFormatPr defaultRowHeight="14.4"/>
  <cols>
    <col min="2" max="2" width="4.44140625" customWidth="1"/>
    <col min="3" max="3" width="9.88671875" customWidth="1"/>
    <col min="4" max="5" width="3.6640625" customWidth="1"/>
    <col min="6" max="9" width="12.6640625" customWidth="1"/>
    <col min="10" max="10" width="7.5546875" customWidth="1"/>
    <col min="20" max="23" width="12.6640625" customWidth="1"/>
    <col min="24" max="24" width="7.5546875" customWidth="1"/>
  </cols>
  <sheetData>
    <row r="1" spans="1:23" s="155" customFormat="1">
      <c r="A1" s="156" t="s">
        <v>120</v>
      </c>
    </row>
    <row r="2" spans="1:23" s="155" customFormat="1">
      <c r="A2" s="155" t="s">
        <v>152</v>
      </c>
    </row>
    <row r="5" spans="1:23">
      <c r="C5" s="162" t="s">
        <v>142</v>
      </c>
      <c r="D5" s="162"/>
      <c r="E5" s="162"/>
      <c r="F5" s="162"/>
      <c r="G5" s="162"/>
      <c r="H5" s="162"/>
      <c r="I5" s="162"/>
      <c r="O5" s="172" t="s">
        <v>153</v>
      </c>
      <c r="S5" s="162" t="s">
        <v>142</v>
      </c>
      <c r="T5" s="162"/>
      <c r="U5" s="162"/>
      <c r="V5" s="162"/>
      <c r="W5" s="162"/>
    </row>
    <row r="6" spans="1:23">
      <c r="C6" s="162" t="s">
        <v>135</v>
      </c>
      <c r="D6" s="162"/>
      <c r="E6" s="162"/>
      <c r="F6" s="162"/>
      <c r="G6" s="162"/>
      <c r="H6" s="162"/>
      <c r="I6" s="162"/>
      <c r="O6" s="173" t="s">
        <v>156</v>
      </c>
      <c r="S6" s="162" t="s">
        <v>135</v>
      </c>
      <c r="T6" s="162"/>
      <c r="U6" s="162"/>
      <c r="V6" s="162"/>
      <c r="W6" s="162"/>
    </row>
    <row r="7" spans="1:23">
      <c r="C7" s="35"/>
      <c r="D7" s="35"/>
      <c r="E7" s="35"/>
      <c r="F7" s="186"/>
      <c r="G7" s="186"/>
      <c r="H7" s="186"/>
      <c r="O7" s="173" t="s">
        <v>157</v>
      </c>
      <c r="S7" s="35"/>
      <c r="T7" s="35"/>
      <c r="U7" s="186"/>
      <c r="V7" s="186"/>
    </row>
    <row r="8" spans="1:23">
      <c r="C8" s="35"/>
      <c r="D8" s="35"/>
      <c r="E8" s="35"/>
      <c r="F8" s="187" t="s">
        <v>100</v>
      </c>
      <c r="G8" s="187"/>
      <c r="H8" s="187"/>
      <c r="I8" s="41" t="s">
        <v>141</v>
      </c>
      <c r="O8" s="173" t="s">
        <v>158</v>
      </c>
      <c r="S8" s="35"/>
      <c r="T8" s="35"/>
      <c r="U8" s="187" t="s">
        <v>186</v>
      </c>
      <c r="V8" s="187"/>
      <c r="W8" s="41"/>
    </row>
    <row r="9" spans="1:23">
      <c r="C9" s="35"/>
      <c r="D9" s="35"/>
      <c r="E9" s="35"/>
      <c r="F9" s="99">
        <v>1</v>
      </c>
      <c r="G9" s="99">
        <v>2</v>
      </c>
      <c r="H9" s="99">
        <v>3</v>
      </c>
      <c r="I9" s="41" t="s">
        <v>187</v>
      </c>
      <c r="O9" s="173" t="s">
        <v>159</v>
      </c>
      <c r="S9" s="35"/>
      <c r="T9" s="35"/>
      <c r="U9" s="141" t="s">
        <v>188</v>
      </c>
      <c r="V9" s="141" t="s">
        <v>189</v>
      </c>
      <c r="W9" s="188" t="s">
        <v>102</v>
      </c>
    </row>
    <row r="10" spans="1:23">
      <c r="C10" s="590"/>
      <c r="D10" s="190"/>
      <c r="E10" s="188">
        <v>1</v>
      </c>
      <c r="F10" s="191">
        <v>0.06</v>
      </c>
      <c r="G10" s="192">
        <v>0.15</v>
      </c>
      <c r="H10" s="145">
        <v>0.09</v>
      </c>
      <c r="I10" s="47">
        <f>SUM(F10:H10)</f>
        <v>0.3</v>
      </c>
      <c r="O10" s="173" t="s">
        <v>160</v>
      </c>
      <c r="S10" s="591" t="s">
        <v>190</v>
      </c>
      <c r="T10" s="148" t="s">
        <v>191</v>
      </c>
      <c r="U10" s="142">
        <v>0.25</v>
      </c>
      <c r="V10" s="145">
        <v>0.03</v>
      </c>
      <c r="W10" s="56">
        <f>SUM(U10:V10)</f>
        <v>0.28000000000000003</v>
      </c>
    </row>
    <row r="11" spans="1:23">
      <c r="C11" s="590"/>
      <c r="D11" s="190" t="s">
        <v>11</v>
      </c>
      <c r="E11" s="188">
        <v>2</v>
      </c>
      <c r="F11" s="193">
        <v>0.12</v>
      </c>
      <c r="G11" s="194">
        <v>0.3</v>
      </c>
      <c r="H11" s="146">
        <v>0.18</v>
      </c>
      <c r="I11" s="47">
        <f t="shared" ref="I11:I12" si="0">SUM(F11:H11)</f>
        <v>0.6</v>
      </c>
      <c r="O11" s="173"/>
      <c r="S11" s="591"/>
      <c r="T11" s="148" t="s">
        <v>192</v>
      </c>
      <c r="U11" s="142">
        <v>0.23</v>
      </c>
      <c r="V11" s="146">
        <v>0.18</v>
      </c>
      <c r="W11" s="56">
        <f>SUM(U11:V11)</f>
        <v>0.41000000000000003</v>
      </c>
    </row>
    <row r="12" spans="1:23">
      <c r="C12" s="590"/>
      <c r="D12" s="190"/>
      <c r="E12" s="188">
        <v>3</v>
      </c>
      <c r="F12" s="144">
        <v>0.02</v>
      </c>
      <c r="G12" s="195">
        <v>0.05</v>
      </c>
      <c r="H12" s="147">
        <v>0.03</v>
      </c>
      <c r="I12" s="196">
        <f t="shared" si="0"/>
        <v>0.1</v>
      </c>
      <c r="O12" s="173"/>
      <c r="S12" s="591"/>
      <c r="T12" s="148" t="s">
        <v>193</v>
      </c>
      <c r="U12" s="144">
        <v>0.05</v>
      </c>
      <c r="V12" s="147">
        <v>0.26</v>
      </c>
      <c r="W12" s="56">
        <f>SUM(U12:V12)</f>
        <v>0.31</v>
      </c>
    </row>
    <row r="13" spans="1:23">
      <c r="C13" s="35"/>
      <c r="D13" s="35"/>
      <c r="E13" s="197" t="s">
        <v>194</v>
      </c>
      <c r="F13" s="49">
        <f>F10+F11+F12</f>
        <v>0.19999999999999998</v>
      </c>
      <c r="G13" s="49">
        <f t="shared" ref="G13:H13" si="1">G10+G11+G12</f>
        <v>0.49999999999999994</v>
      </c>
      <c r="H13" s="198">
        <f t="shared" si="1"/>
        <v>0.30000000000000004</v>
      </c>
      <c r="I13" s="53">
        <f>SUM(F10:H12)</f>
        <v>1</v>
      </c>
      <c r="O13" s="173"/>
      <c r="S13" s="35"/>
      <c r="T13" s="99" t="s">
        <v>102</v>
      </c>
      <c r="U13" s="150">
        <f>SUM(U10:U12)</f>
        <v>0.53</v>
      </c>
      <c r="V13" s="150">
        <f>SUM(V10:V12)</f>
        <v>0.47</v>
      </c>
      <c r="W13" s="149">
        <f>SUM(U10:V12)</f>
        <v>1</v>
      </c>
    </row>
    <row r="14" spans="1:23">
      <c r="O14" s="173"/>
    </row>
    <row r="15" spans="1:23">
      <c r="O15" s="173"/>
      <c r="U15" s="99" t="s">
        <v>139</v>
      </c>
      <c r="V15" s="99" t="s">
        <v>195</v>
      </c>
    </row>
    <row r="16" spans="1:23">
      <c r="C16" s="162" t="s">
        <v>165</v>
      </c>
      <c r="D16" s="162"/>
      <c r="E16" s="162"/>
      <c r="F16" s="162"/>
      <c r="G16" s="162"/>
      <c r="H16" s="162"/>
      <c r="I16" s="162"/>
      <c r="O16" s="173"/>
      <c r="T16" s="199" t="s">
        <v>196</v>
      </c>
      <c r="U16" s="163">
        <f>U13</f>
        <v>0.53</v>
      </c>
      <c r="V16" s="163">
        <f>V13</f>
        <v>0.47</v>
      </c>
    </row>
    <row r="17" spans="3:23">
      <c r="C17" s="162" t="s">
        <v>151</v>
      </c>
      <c r="D17" s="162"/>
      <c r="E17" s="162"/>
      <c r="F17" s="162"/>
      <c r="G17" s="162"/>
      <c r="H17" s="162"/>
      <c r="I17" s="162"/>
      <c r="O17" s="173"/>
      <c r="T17" s="66" t="s">
        <v>197</v>
      </c>
      <c r="U17" s="53">
        <f t="shared" ref="U17:V19" si="2">U10/U$13</f>
        <v>0.47169811320754712</v>
      </c>
      <c r="V17" s="53">
        <f t="shared" si="2"/>
        <v>6.3829787234042548E-2</v>
      </c>
      <c r="W17" s="154" t="s">
        <v>198</v>
      </c>
    </row>
    <row r="18" spans="3:23">
      <c r="O18" s="173"/>
      <c r="T18" s="66" t="s">
        <v>199</v>
      </c>
      <c r="U18" s="53">
        <f t="shared" si="2"/>
        <v>0.43396226415094341</v>
      </c>
      <c r="V18" s="53">
        <f t="shared" si="2"/>
        <v>0.38297872340425532</v>
      </c>
      <c r="W18" s="154" t="s">
        <v>200</v>
      </c>
    </row>
    <row r="19" spans="3:23">
      <c r="F19" s="187" t="str">
        <f>"Y = "&amp;F9</f>
        <v>Y = 1</v>
      </c>
      <c r="G19" s="187" t="str">
        <f t="shared" ref="G19:H19" si="3">"Y = "&amp;G9</f>
        <v>Y = 2</v>
      </c>
      <c r="H19" s="187" t="str">
        <f t="shared" si="3"/>
        <v>Y = 3</v>
      </c>
      <c r="O19" s="173"/>
      <c r="T19" s="66" t="s">
        <v>201</v>
      </c>
      <c r="U19" s="126">
        <f t="shared" si="2"/>
        <v>9.4339622641509441E-2</v>
      </c>
      <c r="V19" s="53">
        <f t="shared" si="2"/>
        <v>0.55319148936170215</v>
      </c>
      <c r="W19" s="154" t="s">
        <v>202</v>
      </c>
    </row>
    <row r="20" spans="3:23">
      <c r="F20" s="163">
        <f>F13</f>
        <v>0.19999999999999998</v>
      </c>
      <c r="G20" s="163">
        <f>G13</f>
        <v>0.49999999999999994</v>
      </c>
      <c r="H20" s="163">
        <f>H13</f>
        <v>0.30000000000000004</v>
      </c>
      <c r="O20" s="173"/>
    </row>
    <row r="21" spans="3:23">
      <c r="E21" s="66" t="s">
        <v>203</v>
      </c>
      <c r="F21" s="53">
        <f t="shared" ref="F21:H23" si="4">F10/F$13</f>
        <v>0.3</v>
      </c>
      <c r="G21" s="53">
        <f t="shared" si="4"/>
        <v>0.30000000000000004</v>
      </c>
      <c r="H21" s="53">
        <f t="shared" si="4"/>
        <v>0.29999999999999993</v>
      </c>
      <c r="I21" s="154" t="s">
        <v>204</v>
      </c>
      <c r="O21" s="173"/>
    </row>
    <row r="22" spans="3:23">
      <c r="E22" s="66" t="s">
        <v>205</v>
      </c>
      <c r="F22" s="53">
        <f t="shared" si="4"/>
        <v>0.6</v>
      </c>
      <c r="G22" s="53">
        <f t="shared" si="4"/>
        <v>0.60000000000000009</v>
      </c>
      <c r="H22" s="53">
        <f t="shared" si="4"/>
        <v>0.59999999999999987</v>
      </c>
      <c r="I22" s="154" t="s">
        <v>206</v>
      </c>
      <c r="O22" s="173"/>
    </row>
    <row r="23" spans="3:23">
      <c r="E23" s="66" t="s">
        <v>207</v>
      </c>
      <c r="F23" s="53">
        <f t="shared" si="4"/>
        <v>0.1</v>
      </c>
      <c r="G23" s="53">
        <f t="shared" si="4"/>
        <v>0.10000000000000002</v>
      </c>
      <c r="H23" s="53">
        <f t="shared" si="4"/>
        <v>9.9999999999999978E-2</v>
      </c>
      <c r="I23" s="154" t="s">
        <v>208</v>
      </c>
      <c r="O23" s="173"/>
    </row>
    <row r="24" spans="3:23">
      <c r="E24" s="66"/>
      <c r="F24" s="53"/>
      <c r="G24" s="53"/>
      <c r="H24" s="53"/>
      <c r="I24" s="154"/>
    </row>
    <row r="27" spans="3:23">
      <c r="C27" s="162" t="s">
        <v>147</v>
      </c>
      <c r="D27" s="162"/>
      <c r="E27" s="162"/>
      <c r="F27" s="162"/>
      <c r="G27" s="162"/>
      <c r="H27" s="162"/>
      <c r="I27" s="162"/>
      <c r="O27" s="172" t="s">
        <v>154</v>
      </c>
    </row>
    <row r="28" spans="3:23">
      <c r="C28" s="162" t="s">
        <v>149</v>
      </c>
      <c r="D28" s="162"/>
      <c r="E28" s="162"/>
      <c r="F28" s="162"/>
      <c r="G28" s="162"/>
      <c r="H28" s="162"/>
      <c r="I28" s="162"/>
      <c r="O28" s="173" t="s">
        <v>161</v>
      </c>
    </row>
    <row r="29" spans="3:23">
      <c r="C29" s="35"/>
      <c r="D29" s="35"/>
      <c r="E29" s="35"/>
      <c r="F29" s="35"/>
      <c r="G29" s="35"/>
      <c r="H29" s="35"/>
      <c r="I29" s="35"/>
      <c r="O29" s="173" t="s">
        <v>162</v>
      </c>
    </row>
    <row r="30" spans="3:23">
      <c r="C30" s="35"/>
      <c r="D30" s="35"/>
      <c r="E30" s="35"/>
      <c r="F30" s="187" t="s">
        <v>100</v>
      </c>
      <c r="G30" s="187"/>
      <c r="H30" s="187"/>
      <c r="I30" s="41"/>
      <c r="O30" s="173" t="s">
        <v>163</v>
      </c>
    </row>
    <row r="31" spans="3:23">
      <c r="C31" s="35"/>
      <c r="D31" s="35"/>
      <c r="E31" s="35"/>
      <c r="F31" s="200">
        <v>1</v>
      </c>
      <c r="G31" s="200">
        <v>2</v>
      </c>
      <c r="H31" s="200">
        <v>3</v>
      </c>
      <c r="I31" s="41"/>
      <c r="O31" s="173"/>
    </row>
    <row r="32" spans="3:23">
      <c r="C32" s="590"/>
      <c r="D32" s="190"/>
      <c r="E32" s="188">
        <v>1</v>
      </c>
      <c r="F32" s="201">
        <f>F10</f>
        <v>0.06</v>
      </c>
      <c r="G32" s="202">
        <f t="shared" ref="G32:H32" si="5">G10</f>
        <v>0.15</v>
      </c>
      <c r="H32" s="165">
        <f t="shared" si="5"/>
        <v>0.09</v>
      </c>
      <c r="I32" s="53">
        <f>SUM(F32:H32)</f>
        <v>0.3</v>
      </c>
      <c r="O32" s="173"/>
    </row>
    <row r="33" spans="3:16">
      <c r="C33" s="590"/>
      <c r="D33" s="190" t="s">
        <v>11</v>
      </c>
      <c r="E33" s="188">
        <v>2</v>
      </c>
      <c r="F33" s="169">
        <f t="shared" ref="F33:H34" si="6">F11</f>
        <v>0.12</v>
      </c>
      <c r="G33" s="202">
        <f t="shared" si="6"/>
        <v>0.3</v>
      </c>
      <c r="H33" s="203">
        <f t="shared" si="6"/>
        <v>0.18</v>
      </c>
      <c r="I33" s="53">
        <f>SUM(F33:H33)</f>
        <v>0.6</v>
      </c>
      <c r="K33" s="170"/>
      <c r="O33" s="173"/>
    </row>
    <row r="34" spans="3:16">
      <c r="C34" s="590"/>
      <c r="D34" s="190"/>
      <c r="E34" s="188">
        <v>3</v>
      </c>
      <c r="F34" s="166">
        <f t="shared" si="6"/>
        <v>0.02</v>
      </c>
      <c r="G34" s="204">
        <f t="shared" si="6"/>
        <v>0.05</v>
      </c>
      <c r="H34" s="167">
        <f t="shared" si="6"/>
        <v>0.03</v>
      </c>
      <c r="I34" s="53">
        <f>SUM(F34:H34)</f>
        <v>0.1</v>
      </c>
      <c r="O34" s="173"/>
    </row>
    <row r="35" spans="3:16">
      <c r="C35" s="35"/>
      <c r="D35" s="35"/>
      <c r="E35" s="66"/>
      <c r="F35" s="53">
        <f>SUM(F32:F34)</f>
        <v>0.19999999999999998</v>
      </c>
      <c r="G35" s="53"/>
      <c r="H35" s="53">
        <f>SUM(H32:H34)</f>
        <v>0.30000000000000004</v>
      </c>
      <c r="I35" s="149">
        <f>SUM(F32:H34)</f>
        <v>1</v>
      </c>
      <c r="O35" s="173"/>
    </row>
    <row r="36" spans="3:16">
      <c r="O36" s="173"/>
    </row>
    <row r="37" spans="3:16">
      <c r="C37" s="205" t="str">
        <f>"P( X=1 ∩ Y=1 ) = "&amp;TEXT(F32,"0.0%")&amp;" = P(X=1) * P( Y=1 | X=1 ) = "&amp;TEXT(I32,"0.0%")&amp;" * ("&amp;TEXT(F32,"0.0%")&amp;" / "&amp;TEXT(I32,"0.0%")&amp;")"</f>
        <v>P( X=1 ∩ Y=1 ) = 6.0% = P(X=1) * P( Y=1 | X=1 ) = 30.0% * (6.0% / 30.0%)</v>
      </c>
      <c r="D37" s="205"/>
      <c r="E37" s="206"/>
      <c r="F37" s="206"/>
      <c r="G37" s="206"/>
      <c r="H37" s="206"/>
      <c r="I37" s="207"/>
      <c r="O37" s="173"/>
    </row>
    <row r="38" spans="3:16">
      <c r="C38" s="205" t="str">
        <f>"P( X=1 ∩ Y=1 ) = "&amp;TEXT(F32,"0.0%")&amp;" = P(Y=1) * P( X=1 | Y=1 ) = "&amp;TEXT(F35,"0.0%")&amp;" * ("&amp;TEXT(F32,"0.0%")&amp;" / "&amp;TEXT(F35,"0.0%")&amp;")"</f>
        <v>P( X=1 ∩ Y=1 ) = 6.0% = P(Y=1) * P( X=1 | Y=1 ) = 20.0% * (6.0% / 20.0%)</v>
      </c>
      <c r="D38" s="205"/>
      <c r="E38" s="206"/>
      <c r="F38" s="206"/>
      <c r="G38" s="206"/>
      <c r="H38" s="206"/>
      <c r="I38" s="206"/>
      <c r="O38" s="173"/>
    </row>
    <row r="39" spans="3:16">
      <c r="O39" s="173"/>
    </row>
    <row r="40" spans="3:16">
      <c r="C40" s="205" t="str">
        <f>"P( X=2 ∩ Y=3 ) = "&amp;TEXT(H33,"0.0%")&amp;" = P(X=2) * P( Y=3 | X=2 ) = "&amp;TEXT(I33,"0.0%")&amp;" * ("&amp;TEXT(H33,"0.0%")&amp;" / "&amp;TEXT(I33,"0.0%")&amp;")"</f>
        <v>P( X=2 ∩ Y=3 ) = 18.0% = P(X=2) * P( Y=3 | X=2 ) = 60.0% * (18.0% / 60.0%)</v>
      </c>
      <c r="D40" s="205"/>
      <c r="E40" s="205"/>
      <c r="F40" s="205"/>
      <c r="G40" s="205"/>
      <c r="H40" s="205"/>
      <c r="I40" s="205"/>
      <c r="O40" s="173"/>
    </row>
    <row r="41" spans="3:16">
      <c r="C41" s="205" t="str">
        <f>"P( X=2 ∩ Y=3 ) = "&amp;TEXT(H33,"0.0%")&amp;" = P(Y=3) * P( X=2 | Y=3 ) = "&amp;TEXT(H35,"0.0%")&amp;" * ("&amp;TEXT(H33,"0.0%")&amp;" / "&amp;TEXT(H35,"0.0%")&amp;")"</f>
        <v>P( X=2 ∩ Y=3 ) = 18.0% = P(Y=3) * P( X=2 | Y=3 ) = 30.0% * (18.0% / 30.0%)</v>
      </c>
      <c r="D41" s="205"/>
      <c r="E41" s="205"/>
      <c r="F41" s="205"/>
      <c r="G41" s="205"/>
      <c r="H41" s="205"/>
      <c r="I41" s="205"/>
      <c r="O41" s="173"/>
    </row>
    <row r="42" spans="3:16">
      <c r="P42" s="170"/>
    </row>
    <row r="43" spans="3:16">
      <c r="P43" s="170"/>
    </row>
    <row r="45" spans="3:16">
      <c r="C45" s="162" t="s">
        <v>148</v>
      </c>
      <c r="D45" s="162"/>
      <c r="E45" s="162"/>
      <c r="F45" s="162"/>
      <c r="G45" s="162"/>
      <c r="H45" s="162"/>
      <c r="I45" s="162"/>
      <c r="O45" s="172" t="s">
        <v>155</v>
      </c>
    </row>
    <row r="46" spans="3:16">
      <c r="C46" s="162" t="s">
        <v>150</v>
      </c>
      <c r="D46" s="162"/>
      <c r="E46" s="162"/>
      <c r="F46" s="162"/>
      <c r="G46" s="162"/>
      <c r="H46" s="162"/>
      <c r="I46" s="162"/>
      <c r="O46" s="173" t="s">
        <v>164</v>
      </c>
    </row>
    <row r="47" spans="3:16">
      <c r="C47" s="35"/>
      <c r="D47" s="35"/>
      <c r="E47" s="35"/>
      <c r="F47" s="72" t="s">
        <v>119</v>
      </c>
      <c r="G47" s="72"/>
      <c r="H47" s="72"/>
      <c r="O47" s="173" t="s">
        <v>162</v>
      </c>
    </row>
    <row r="48" spans="3:16">
      <c r="C48" s="35"/>
      <c r="D48" s="35"/>
      <c r="E48" s="35"/>
      <c r="F48" s="41" t="s">
        <v>128</v>
      </c>
      <c r="G48" s="41"/>
      <c r="H48" s="41" t="s">
        <v>129</v>
      </c>
      <c r="I48" s="41"/>
      <c r="O48" s="173" t="s">
        <v>163</v>
      </c>
    </row>
    <row r="49" spans="3:15">
      <c r="C49" s="35"/>
      <c r="D49" s="35"/>
      <c r="E49" s="35"/>
      <c r="F49" s="41" t="s">
        <v>136</v>
      </c>
      <c r="G49" s="41"/>
      <c r="H49" s="41" t="s">
        <v>137</v>
      </c>
      <c r="I49" s="36"/>
      <c r="O49" s="173"/>
    </row>
    <row r="50" spans="3:15">
      <c r="C50" s="589" t="s">
        <v>118</v>
      </c>
      <c r="D50" s="189"/>
      <c r="E50" s="41" t="s">
        <v>143</v>
      </c>
      <c r="F50" s="171">
        <v>0.15</v>
      </c>
      <c r="G50" s="208"/>
      <c r="H50" s="164">
        <v>0.05</v>
      </c>
      <c r="I50" s="168">
        <f>SUM(F50:H50)</f>
        <v>0.2</v>
      </c>
      <c r="O50" s="173"/>
    </row>
    <row r="51" spans="3:15">
      <c r="C51" s="589"/>
      <c r="D51" s="189"/>
      <c r="E51" s="41" t="s">
        <v>146</v>
      </c>
      <c r="F51" s="169">
        <v>0.3</v>
      </c>
      <c r="G51" s="202"/>
      <c r="H51" s="165">
        <v>0.25</v>
      </c>
      <c r="I51" s="53">
        <f>SUM(F51:H51)</f>
        <v>0.55000000000000004</v>
      </c>
      <c r="O51" s="173"/>
    </row>
    <row r="52" spans="3:15">
      <c r="C52" s="589"/>
      <c r="D52" s="189"/>
      <c r="E52" s="41" t="s">
        <v>144</v>
      </c>
      <c r="F52" s="166">
        <v>0.05</v>
      </c>
      <c r="G52" s="204"/>
      <c r="H52" s="167">
        <v>0.2</v>
      </c>
      <c r="I52" s="181">
        <f>SUM(F52:H52)</f>
        <v>0.25</v>
      </c>
      <c r="O52" s="173"/>
    </row>
    <row r="53" spans="3:15">
      <c r="C53" s="35"/>
      <c r="D53" s="35"/>
      <c r="E53" s="66"/>
      <c r="F53" s="180">
        <f>SUM(F50:F52)</f>
        <v>0.49999999999999994</v>
      </c>
      <c r="G53" s="180"/>
      <c r="H53" s="53">
        <f>SUM(H50:H52)</f>
        <v>0.5</v>
      </c>
      <c r="I53" s="149">
        <f>SUM(F50:H52)</f>
        <v>1</v>
      </c>
      <c r="O53" s="173"/>
    </row>
    <row r="54" spans="3:15">
      <c r="O54" s="173"/>
    </row>
    <row r="55" spans="3:15">
      <c r="C55" s="174" t="str">
        <f>"P[B↓] = "&amp;TEXT(I52,"0.0%")&amp;" = P[B↓ ∩ O] +  P[B↓ ∩ U]= "&amp;TEXT(F52,"0.0%")&amp;" + "&amp;TEXT(H52,"0.0%")</f>
        <v>P[B↓] = 25.0% = P[B↓ ∩ O] +  P[B↓ ∩ U]= 5.0% + 20.0%</v>
      </c>
      <c r="D55" s="174"/>
      <c r="E55" s="175"/>
      <c r="F55" s="175"/>
      <c r="G55" s="175"/>
      <c r="H55" s="175"/>
      <c r="I55" s="176"/>
      <c r="O55" s="173"/>
    </row>
    <row r="56" spans="3:15">
      <c r="C56" s="179" t="str">
        <f>"P[O] = "&amp;TEXT(F53,"0.0%")&amp;" = P[B↑∩O] + P[B↔∩O] + P[B↓∩O]= "&amp;TEXT(F50,"0%")&amp;" + "&amp;TEXT(F51,"0%")&amp;" + "&amp;TEXT(F52,"0%")</f>
        <v>P[O] = 50.0% = P[B↑∩O] + P[B↔∩O] + P[B↓∩O]= 15% + 30% + 5%</v>
      </c>
      <c r="D56" s="179"/>
      <c r="E56" s="179"/>
      <c r="F56" s="179"/>
      <c r="G56" s="179"/>
      <c r="H56" s="179"/>
      <c r="I56" s="179"/>
      <c r="O56" s="173"/>
    </row>
  </sheetData>
  <mergeCells count="4">
    <mergeCell ref="C10:C12"/>
    <mergeCell ref="S10:S12"/>
    <mergeCell ref="C32:C34"/>
    <mergeCell ref="C50:C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D3DB-7D39-4DBF-8245-3F9E3A49BF63}">
  <sheetPr codeName="Sheet8"/>
  <dimension ref="A1:T24"/>
  <sheetViews>
    <sheetView showGridLines="0" workbookViewId="0">
      <selection activeCell="K24" sqref="K24"/>
    </sheetView>
  </sheetViews>
  <sheetFormatPr defaultColWidth="9.6640625" defaultRowHeight="14.4"/>
  <cols>
    <col min="2" max="2" width="13.5546875" customWidth="1"/>
    <col min="4" max="4" width="11.109375" bestFit="1" customWidth="1"/>
    <col min="11" max="11" width="10.6640625" customWidth="1"/>
    <col min="13" max="13" width="10.6640625" customWidth="1"/>
    <col min="18" max="18" width="20.44140625" bestFit="1" customWidth="1"/>
    <col min="20" max="20" width="20.44140625" bestFit="1" customWidth="1"/>
  </cols>
  <sheetData>
    <row r="1" spans="1:20" s="155" customFormat="1">
      <c r="A1" s="156" t="s">
        <v>209</v>
      </c>
    </row>
    <row r="2" spans="1:20" s="155" customFormat="1"/>
    <row r="4" spans="1:20">
      <c r="E4" s="209"/>
      <c r="F4" s="210"/>
      <c r="G4" s="211"/>
    </row>
    <row r="5" spans="1:20">
      <c r="E5" s="212" t="s">
        <v>210</v>
      </c>
      <c r="F5" s="212"/>
      <c r="G5" s="213"/>
      <c r="J5" s="214"/>
      <c r="K5" s="215" t="s">
        <v>211</v>
      </c>
      <c r="L5" s="214"/>
      <c r="M5" s="215" t="s">
        <v>97</v>
      </c>
    </row>
    <row r="6" spans="1:20">
      <c r="E6" s="41" t="s">
        <v>64</v>
      </c>
      <c r="F6" s="41" t="s">
        <v>65</v>
      </c>
    </row>
    <row r="7" spans="1:20">
      <c r="E7" s="41" t="s">
        <v>212</v>
      </c>
      <c r="F7" s="41" t="s">
        <v>213</v>
      </c>
      <c r="G7" s="25"/>
      <c r="K7" s="199"/>
      <c r="L7" s="213">
        <f>F14</f>
        <v>0.6</v>
      </c>
      <c r="M7" s="216" t="s">
        <v>214</v>
      </c>
    </row>
    <row r="8" spans="1:20">
      <c r="C8" s="592" t="s">
        <v>80</v>
      </c>
      <c r="D8" s="66" t="s">
        <v>215</v>
      </c>
      <c r="E8" s="217">
        <f>100%-F9-F8-E9</f>
        <v>0.87999999999999989</v>
      </c>
      <c r="F8" s="218">
        <f>F10-F9</f>
        <v>4.0000000000000008E-2</v>
      </c>
      <c r="G8" s="94">
        <f>1-G9</f>
        <v>0.92</v>
      </c>
      <c r="J8" s="213">
        <f>F10</f>
        <v>0.1</v>
      </c>
      <c r="K8" s="216" t="s">
        <v>216</v>
      </c>
      <c r="L8" s="213"/>
    </row>
    <row r="9" spans="1:20" ht="15" customHeight="1">
      <c r="C9" s="593"/>
      <c r="D9" s="66" t="s">
        <v>217</v>
      </c>
      <c r="E9" s="219">
        <f>G9-F9</f>
        <v>2.0000000000000004E-2</v>
      </c>
      <c r="F9" s="220">
        <v>0.06</v>
      </c>
      <c r="G9" s="221">
        <v>0.08</v>
      </c>
      <c r="H9" s="34"/>
      <c r="L9" s="213">
        <f>1-L7</f>
        <v>0.4</v>
      </c>
      <c r="M9" s="38" t="s">
        <v>218</v>
      </c>
    </row>
    <row r="10" spans="1:20" ht="15" customHeight="1">
      <c r="E10" s="94">
        <f>1-F10</f>
        <v>0.9</v>
      </c>
      <c r="F10" s="222">
        <v>0.1</v>
      </c>
      <c r="G10" s="213">
        <f>SUM(E8:F9)</f>
        <v>1</v>
      </c>
      <c r="I10" s="33"/>
      <c r="L10" s="26"/>
    </row>
    <row r="11" spans="1:20" ht="15" customHeight="1">
      <c r="E11" s="91"/>
      <c r="F11" s="223"/>
      <c r="G11" s="213"/>
      <c r="I11" s="224" t="s">
        <v>210</v>
      </c>
      <c r="L11" s="26"/>
    </row>
    <row r="12" spans="1:20" ht="15" customHeight="1">
      <c r="E12" s="91"/>
      <c r="F12" s="223"/>
      <c r="G12" s="213"/>
      <c r="L12" s="26"/>
    </row>
    <row r="13" spans="1:20" ht="15" customHeight="1">
      <c r="E13" s="225" t="str">
        <f>"P[A|B] = P[A∩B]/P[B] = "&amp;TEXT(F9,"0.0%")&amp;"/"&amp;TEXT(G9,"0.0%")&amp;" = "</f>
        <v xml:space="preserve">P[A|B] = P[A∩B]/P[B] = 6.0%/8.0% = </v>
      </c>
      <c r="F13" s="213">
        <f>F9/G9</f>
        <v>0.75</v>
      </c>
      <c r="L13" s="226">
        <f>E9/E10</f>
        <v>2.2222222222222227E-2</v>
      </c>
      <c r="M13" s="216" t="s">
        <v>214</v>
      </c>
      <c r="T13" s="34"/>
    </row>
    <row r="14" spans="1:20" ht="15" customHeight="1">
      <c r="E14" s="225" t="str">
        <f>"P[B|A] = P[A∩B]/P[A] = "&amp;TEXT(F9,"0.0%")&amp;"/"&amp;TEXT(F10,"0.0%")&amp;" = "</f>
        <v xml:space="preserve">P[B|A] = P[A∩B]/P[A] = 6.0%/10.0% = </v>
      </c>
      <c r="F14" s="213">
        <f>F9/F10</f>
        <v>0.6</v>
      </c>
      <c r="J14" s="213">
        <f>1-J8</f>
        <v>0.9</v>
      </c>
      <c r="K14" s="38" t="s">
        <v>219</v>
      </c>
      <c r="L14" s="226"/>
    </row>
    <row r="15" spans="1:20" ht="15" customHeight="1">
      <c r="E15" s="225"/>
      <c r="F15" s="213"/>
      <c r="L15" s="226">
        <f>E8/E10</f>
        <v>0.97777777777777763</v>
      </c>
      <c r="M15" s="38" t="s">
        <v>218</v>
      </c>
    </row>
    <row r="16" spans="1:20" ht="15" customHeight="1">
      <c r="E16" s="225" t="str">
        <f>"P[A|B] = P[B|A]*P[A]/P[B] = "&amp;TEXT(F14,"0.0%")&amp;"*"&amp;TEXT(F10,"0.0%")&amp;"/"&amp;TEXT(G9,"0.0%")&amp;" ="</f>
        <v>P[A|B] = P[B|A]*P[A]/P[B] = 60.0%*10.0%/8.0% =</v>
      </c>
      <c r="F16" s="213">
        <f>F14*F10/G9</f>
        <v>0.75</v>
      </c>
    </row>
    <row r="17" spans="5:20" ht="15" customHeight="1">
      <c r="E17" s="225" t="str">
        <f>"P[B|A] = P[A|B]*P[B]/P[A] = "&amp;TEXT(F13,"0.0%")&amp;"*"&amp;TEXT(G9,"0.0%")&amp;"/"&amp;TEXT(F10,"0.0%")&amp;" ="</f>
        <v>P[B|A] = P[A|B]*P[B]/P[A] = 75.0%*8.0%/10.0% =</v>
      </c>
      <c r="F17" s="226">
        <f>F13*G9/F10</f>
        <v>0.6</v>
      </c>
    </row>
    <row r="18" spans="5:20">
      <c r="F18" s="95"/>
    </row>
    <row r="19" spans="5:20">
      <c r="Q19" s="26"/>
      <c r="R19" s="227"/>
      <c r="T19" s="34"/>
    </row>
    <row r="20" spans="5:20">
      <c r="E20" s="96"/>
      <c r="F20" s="96"/>
    </row>
    <row r="21" spans="5:20">
      <c r="E21" s="96"/>
      <c r="F21" s="96"/>
      <c r="N21" s="34"/>
      <c r="T21" s="228"/>
    </row>
    <row r="22" spans="5:20">
      <c r="E22" s="96"/>
      <c r="F22" s="96"/>
    </row>
    <row r="23" spans="5:20">
      <c r="E23" s="96"/>
      <c r="F23" s="96"/>
    </row>
    <row r="24" spans="5:20">
      <c r="E24" s="96"/>
      <c r="F24" s="96"/>
    </row>
  </sheetData>
  <mergeCells count="1">
    <mergeCell ref="C8:C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93D1-31D5-486C-B2C6-D0DDAB7F072B}">
  <sheetPr codeName="Sheet9"/>
  <dimension ref="A1:T41"/>
  <sheetViews>
    <sheetView showGridLines="0" workbookViewId="0">
      <selection activeCell="J23" sqref="J23"/>
    </sheetView>
  </sheetViews>
  <sheetFormatPr defaultColWidth="9.6640625" defaultRowHeight="14.4"/>
  <cols>
    <col min="2" max="2" width="13.5546875" customWidth="1"/>
    <col min="4" max="4" width="11.109375" bestFit="1" customWidth="1"/>
    <col min="5" max="7" width="12.6640625" customWidth="1"/>
    <col min="8" max="8" width="18.44140625" bestFit="1" customWidth="1"/>
    <col min="9" max="9" width="20.44140625" bestFit="1" customWidth="1"/>
    <col min="11" max="11" width="10.6640625" customWidth="1"/>
    <col min="13" max="13" width="10.6640625" customWidth="1"/>
    <col min="18" max="18" width="20.44140625" bestFit="1" customWidth="1"/>
    <col min="20" max="20" width="20.44140625" bestFit="1" customWidth="1"/>
  </cols>
  <sheetData>
    <row r="1" spans="1:13" s="155" customFormat="1">
      <c r="A1" s="156" t="s">
        <v>220</v>
      </c>
    </row>
    <row r="2" spans="1:13" s="155" customFormat="1"/>
    <row r="5" spans="1:13">
      <c r="E5" s="212" t="s">
        <v>221</v>
      </c>
      <c r="F5" s="212"/>
      <c r="G5" s="213"/>
      <c r="J5" s="214"/>
      <c r="K5" s="215" t="s">
        <v>211</v>
      </c>
      <c r="L5" s="214"/>
      <c r="M5" s="215" t="s">
        <v>97</v>
      </c>
    </row>
    <row r="6" spans="1:13">
      <c r="E6" s="41" t="s">
        <v>222</v>
      </c>
      <c r="F6" s="41" t="s">
        <v>223</v>
      </c>
    </row>
    <row r="7" spans="1:13">
      <c r="E7" s="229" t="s">
        <v>224</v>
      </c>
      <c r="F7" s="41" t="s">
        <v>225</v>
      </c>
      <c r="G7" s="25"/>
      <c r="K7" s="199"/>
      <c r="L7" s="213">
        <f>E16/E18</f>
        <v>0.99</v>
      </c>
      <c r="M7" s="216" t="s">
        <v>226</v>
      </c>
    </row>
    <row r="8" spans="1:13">
      <c r="C8" s="594" t="s">
        <v>227</v>
      </c>
      <c r="D8" s="66" t="s">
        <v>228</v>
      </c>
      <c r="E8" s="230">
        <f>E10*99%</f>
        <v>990</v>
      </c>
      <c r="F8" s="231">
        <f>1%*F10</f>
        <v>9990</v>
      </c>
      <c r="G8" s="232">
        <f>E8+F8</f>
        <v>10980</v>
      </c>
      <c r="J8" s="213">
        <f>E18</f>
        <v>1E-3</v>
      </c>
      <c r="K8" s="216" t="s">
        <v>229</v>
      </c>
      <c r="L8" s="213"/>
    </row>
    <row r="9" spans="1:13">
      <c r="C9" s="595"/>
      <c r="D9" s="66" t="s">
        <v>230</v>
      </c>
      <c r="E9" s="233">
        <f>E10-E8</f>
        <v>10</v>
      </c>
      <c r="F9" s="234">
        <f>F10-F8</f>
        <v>989010</v>
      </c>
      <c r="G9" s="233">
        <f>E9+F9</f>
        <v>989020</v>
      </c>
      <c r="L9" s="213">
        <f>E17/E18</f>
        <v>0.01</v>
      </c>
      <c r="M9" s="38" t="s">
        <v>231</v>
      </c>
    </row>
    <row r="10" spans="1:13">
      <c r="E10" s="232">
        <f>G10*0.1%</f>
        <v>1000</v>
      </c>
      <c r="F10" s="235">
        <f>G10-E10</f>
        <v>999000</v>
      </c>
      <c r="G10" s="232">
        <v>1000000</v>
      </c>
      <c r="I10" s="33"/>
      <c r="L10" s="26"/>
    </row>
    <row r="11" spans="1:13">
      <c r="E11" s="236"/>
      <c r="F11" s="237"/>
      <c r="G11" s="213"/>
      <c r="I11" s="224" t="s">
        <v>232</v>
      </c>
      <c r="L11" s="26"/>
    </row>
    <row r="12" spans="1:13">
      <c r="E12" s="209"/>
      <c r="F12" s="210"/>
      <c r="G12" s="211"/>
      <c r="L12" s="26"/>
    </row>
    <row r="13" spans="1:13">
      <c r="E13" s="212" t="s">
        <v>221</v>
      </c>
      <c r="F13" s="212"/>
      <c r="G13" s="213"/>
      <c r="L13" s="226">
        <f>F16/F18</f>
        <v>0.01</v>
      </c>
      <c r="M13" s="216" t="s">
        <v>226</v>
      </c>
    </row>
    <row r="14" spans="1:13">
      <c r="E14" s="41" t="s">
        <v>222</v>
      </c>
      <c r="F14" s="41" t="s">
        <v>223</v>
      </c>
      <c r="J14" s="213">
        <f>1-J8</f>
        <v>0.999</v>
      </c>
      <c r="K14" s="38" t="s">
        <v>233</v>
      </c>
      <c r="L14" s="226"/>
    </row>
    <row r="15" spans="1:13">
      <c r="E15" s="229" t="s">
        <v>224</v>
      </c>
      <c r="F15" s="41" t="s">
        <v>225</v>
      </c>
      <c r="G15" s="25"/>
      <c r="L15" s="226">
        <f>F17/F18</f>
        <v>0.99</v>
      </c>
      <c r="M15" s="38" t="s">
        <v>231</v>
      </c>
    </row>
    <row r="16" spans="1:13">
      <c r="C16" s="594" t="s">
        <v>227</v>
      </c>
      <c r="D16" s="66" t="s">
        <v>228</v>
      </c>
      <c r="E16" s="238">
        <f>E8/$G$10</f>
        <v>9.8999999999999999E-4</v>
      </c>
      <c r="F16" s="239">
        <f>F8/$G$10</f>
        <v>9.9900000000000006E-3</v>
      </c>
      <c r="G16" s="240">
        <f>SUM(E16:F16)</f>
        <v>1.098E-2</v>
      </c>
      <c r="H16" s="97"/>
      <c r="I16" s="97"/>
    </row>
    <row r="17" spans="3:20" ht="15" customHeight="1">
      <c r="C17" s="595"/>
      <c r="D17" s="66" t="s">
        <v>230</v>
      </c>
      <c r="E17" s="241">
        <f>E9/$G$10</f>
        <v>1.0000000000000001E-5</v>
      </c>
      <c r="F17" s="242">
        <f>F9/$G$10</f>
        <v>0.98900999999999994</v>
      </c>
      <c r="G17" s="241">
        <f>SUM(E17:F17)</f>
        <v>0.9890199999999999</v>
      </c>
      <c r="H17" s="97"/>
      <c r="I17" s="97"/>
    </row>
    <row r="18" spans="3:20" ht="15" customHeight="1">
      <c r="E18" s="240">
        <f>SUM(E16:E17)</f>
        <v>1E-3</v>
      </c>
      <c r="F18" s="239">
        <f>SUM(F16:F17)</f>
        <v>0.999</v>
      </c>
      <c r="G18" s="32">
        <f>SUM(E16:F17)</f>
        <v>1</v>
      </c>
    </row>
    <row r="19" spans="3:20" ht="15" customHeight="1">
      <c r="E19" s="91"/>
      <c r="F19" s="223"/>
      <c r="G19" s="79"/>
    </row>
    <row r="20" spans="3:20" ht="15" customHeight="1">
      <c r="F20" s="225" t="str">
        <f>"P[F|tF] = P[ F ∩ tF ] / P[tF] = "&amp;TEXT(E16,"0.000%")&amp;"/"&amp;TEXT(G16,"0.000%")&amp;" = "</f>
        <v xml:space="preserve">P[F|tF] = P[ F ∩ tF ] / P[tF] = 0.099%/1.098% = </v>
      </c>
      <c r="G20" s="79">
        <f>E16/G16</f>
        <v>9.0163934426229511E-2</v>
      </c>
      <c r="T20" s="34"/>
    </row>
    <row r="21" spans="3:20" ht="15" customHeight="1">
      <c r="F21" s="225" t="str">
        <f>"P[L|tF] = P[ L ∩ tF ]/ P[tF] = "&amp;TEXT(F16,"0.000%")&amp;"/"&amp;TEXT(G16,"0.000%")&amp;" = "</f>
        <v xml:space="preserve">P[L|tF] = P[ L ∩ tF ]/ P[tF] = 0.999%/1.098% = </v>
      </c>
      <c r="G21" s="243">
        <f>F16/G16</f>
        <v>0.9098360655737705</v>
      </c>
    </row>
    <row r="30" spans="3:20">
      <c r="E30" s="96"/>
      <c r="F30" s="33"/>
    </row>
    <row r="35" spans="5:7">
      <c r="E35" s="26"/>
      <c r="F35" s="34"/>
    </row>
    <row r="36" spans="5:7">
      <c r="F36" s="33"/>
    </row>
    <row r="39" spans="5:7">
      <c r="G39" s="31"/>
    </row>
    <row r="41" spans="5:7">
      <c r="E41" s="26"/>
    </row>
  </sheetData>
  <mergeCells count="2">
    <mergeCell ref="C8:C9"/>
    <mergeCell ref="C16:C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B4:F19"/>
  <sheetViews>
    <sheetView showGridLines="0" workbookViewId="0">
      <selection activeCell="L30" sqref="L30"/>
    </sheetView>
  </sheetViews>
  <sheetFormatPr defaultRowHeight="14.4"/>
  <cols>
    <col min="2" max="2" width="12.6640625" customWidth="1"/>
    <col min="3" max="4" width="10.6640625" customWidth="1"/>
    <col min="6" max="6" width="9.109375" customWidth="1"/>
  </cols>
  <sheetData>
    <row r="4" spans="2:6">
      <c r="B4" s="38" t="s">
        <v>23</v>
      </c>
      <c r="C4" s="39"/>
      <c r="D4" s="39"/>
      <c r="E4" s="39"/>
    </row>
    <row r="5" spans="2:6" s="35" customFormat="1">
      <c r="C5" s="36" t="s">
        <v>24</v>
      </c>
      <c r="D5" s="36" t="s">
        <v>25</v>
      </c>
      <c r="E5" s="36" t="s">
        <v>26</v>
      </c>
    </row>
    <row r="6" spans="2:6" s="35" customFormat="1">
      <c r="C6" s="40">
        <v>0.2</v>
      </c>
      <c r="D6" s="40">
        <v>0.3</v>
      </c>
      <c r="E6" s="40">
        <f>1-C6-D6</f>
        <v>0.5</v>
      </c>
    </row>
    <row r="7" spans="2:6">
      <c r="B7" s="35" t="s">
        <v>21</v>
      </c>
      <c r="C7" s="37">
        <v>0.8</v>
      </c>
      <c r="D7" s="37">
        <v>0.5</v>
      </c>
      <c r="E7" s="37">
        <v>0.15</v>
      </c>
    </row>
    <row r="8" spans="2:6">
      <c r="B8" s="35" t="s">
        <v>27</v>
      </c>
      <c r="C8" s="37">
        <f>1-C7-C9</f>
        <v>9.999999999999995E-2</v>
      </c>
      <c r="D8" s="37">
        <f>1-D7-D9</f>
        <v>0.2</v>
      </c>
      <c r="E8" s="37">
        <f>1-E7-E9</f>
        <v>0.15000000000000002</v>
      </c>
    </row>
    <row r="9" spans="2:6">
      <c r="B9" s="35" t="s">
        <v>22</v>
      </c>
      <c r="C9" s="37">
        <v>0.1</v>
      </c>
      <c r="D9" s="37">
        <v>0.3</v>
      </c>
      <c r="E9" s="37">
        <v>0.7</v>
      </c>
    </row>
    <row r="11" spans="2:6">
      <c r="B11" s="38" t="s">
        <v>28</v>
      </c>
      <c r="C11" s="39"/>
      <c r="D11" s="39"/>
      <c r="E11" s="39"/>
      <c r="F11" s="39"/>
    </row>
    <row r="12" spans="2:6">
      <c r="B12" s="35"/>
      <c r="C12" s="41" t="s">
        <v>24</v>
      </c>
      <c r="D12" s="41" t="s">
        <v>25</v>
      </c>
      <c r="E12" s="41" t="s">
        <v>26</v>
      </c>
    </row>
    <row r="13" spans="2:6">
      <c r="B13" s="35" t="s">
        <v>21</v>
      </c>
      <c r="C13" s="42">
        <f>C$6*C7</f>
        <v>0.16000000000000003</v>
      </c>
      <c r="D13" s="43">
        <f>D$6*D7</f>
        <v>0.15</v>
      </c>
      <c r="E13" s="44">
        <f>E$6*E7</f>
        <v>7.4999999999999997E-2</v>
      </c>
      <c r="F13" s="45">
        <f>SUM(C13:E13)</f>
        <v>0.38500000000000006</v>
      </c>
    </row>
    <row r="14" spans="2:6">
      <c r="B14" s="35" t="s">
        <v>27</v>
      </c>
      <c r="C14" s="46">
        <f t="shared" ref="C14:E15" si="0">C$6*C8</f>
        <v>1.999999999999999E-2</v>
      </c>
      <c r="D14" s="47">
        <f t="shared" si="0"/>
        <v>0.06</v>
      </c>
      <c r="E14" s="48">
        <f t="shared" si="0"/>
        <v>7.5000000000000011E-2</v>
      </c>
      <c r="F14" s="49">
        <f>SUM(C14:E14)</f>
        <v>0.155</v>
      </c>
    </row>
    <row r="15" spans="2:6">
      <c r="B15" s="35" t="s">
        <v>22</v>
      </c>
      <c r="C15" s="50">
        <f t="shared" si="0"/>
        <v>2.0000000000000004E-2</v>
      </c>
      <c r="D15" s="51">
        <f t="shared" si="0"/>
        <v>0.09</v>
      </c>
      <c r="E15" s="52">
        <f t="shared" si="0"/>
        <v>0.35</v>
      </c>
      <c r="F15" s="50">
        <f>SUM(C15:E15)</f>
        <v>0.45999999999999996</v>
      </c>
    </row>
    <row r="16" spans="2:6">
      <c r="C16" s="45">
        <f>SUM(C13:C15)</f>
        <v>0.2</v>
      </c>
      <c r="D16" s="45">
        <f>SUM(D13:D15)</f>
        <v>0.3</v>
      </c>
      <c r="E16" s="44">
        <f>SUM(E13:E15)</f>
        <v>0.5</v>
      </c>
      <c r="F16" s="53">
        <f t="shared" ref="F16" si="1">SUM(F13:F15)</f>
        <v>1</v>
      </c>
    </row>
    <row r="18" spans="2:6">
      <c r="B18" s="35" t="s">
        <v>29</v>
      </c>
      <c r="D18" s="45"/>
      <c r="E18" s="54"/>
    </row>
    <row r="19" spans="2:6">
      <c r="B19" s="35" t="s">
        <v>30</v>
      </c>
      <c r="F19" s="55">
        <f>D14/F14</f>
        <v>0.38709677419354838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B4:F19"/>
  <sheetViews>
    <sheetView showGridLines="0" workbookViewId="0">
      <selection activeCell="J33" sqref="J33"/>
    </sheetView>
  </sheetViews>
  <sheetFormatPr defaultRowHeight="14.4"/>
  <cols>
    <col min="2" max="2" width="12.6640625" customWidth="1"/>
    <col min="3" max="4" width="10.6640625" customWidth="1"/>
    <col min="6" max="6" width="9.109375" customWidth="1"/>
  </cols>
  <sheetData>
    <row r="4" spans="2:6">
      <c r="B4" s="38" t="s">
        <v>23</v>
      </c>
      <c r="C4" s="39"/>
      <c r="D4" s="39"/>
      <c r="E4" s="39"/>
    </row>
    <row r="5" spans="2:6" s="35" customFormat="1">
      <c r="C5" s="36" t="s">
        <v>18</v>
      </c>
      <c r="D5" s="36" t="s">
        <v>19</v>
      </c>
      <c r="E5" s="36" t="s">
        <v>20</v>
      </c>
    </row>
    <row r="6" spans="2:6" s="35" customFormat="1">
      <c r="C6" s="40">
        <v>0.2</v>
      </c>
      <c r="D6" s="40">
        <v>0.5</v>
      </c>
      <c r="E6" s="40">
        <f>1-C6-D6</f>
        <v>0.30000000000000004</v>
      </c>
    </row>
    <row r="7" spans="2:6">
      <c r="B7" s="35" t="s">
        <v>21</v>
      </c>
      <c r="C7" s="37">
        <v>0.1</v>
      </c>
      <c r="D7" s="37">
        <v>0.4</v>
      </c>
      <c r="E7" s="37">
        <v>0.7</v>
      </c>
    </row>
    <row r="8" spans="2:6">
      <c r="B8" s="35" t="s">
        <v>27</v>
      </c>
      <c r="C8" s="37">
        <f>1-C7-C9</f>
        <v>0.30000000000000004</v>
      </c>
      <c r="D8" s="37">
        <f>1-D7-D9</f>
        <v>0.3</v>
      </c>
      <c r="E8" s="37">
        <f>1-E7-E9</f>
        <v>0.20000000000000004</v>
      </c>
    </row>
    <row r="9" spans="2:6">
      <c r="B9" s="35" t="s">
        <v>22</v>
      </c>
      <c r="C9" s="37">
        <v>0.6</v>
      </c>
      <c r="D9" s="37">
        <v>0.3</v>
      </c>
      <c r="E9" s="37">
        <v>0.1</v>
      </c>
    </row>
    <row r="11" spans="2:6">
      <c r="B11" s="38" t="s">
        <v>28</v>
      </c>
      <c r="C11" s="39"/>
      <c r="D11" s="39"/>
      <c r="E11" s="39"/>
      <c r="F11" s="39"/>
    </row>
    <row r="12" spans="2:6">
      <c r="B12" s="35"/>
      <c r="C12" s="36" t="s">
        <v>18</v>
      </c>
      <c r="D12" s="36" t="s">
        <v>19</v>
      </c>
      <c r="E12" s="36" t="s">
        <v>20</v>
      </c>
    </row>
    <row r="13" spans="2:6">
      <c r="B13" s="35" t="s">
        <v>21</v>
      </c>
      <c r="C13" s="42">
        <f>C$6*C7</f>
        <v>2.0000000000000004E-2</v>
      </c>
      <c r="D13" s="43">
        <f>D$6*D7</f>
        <v>0.2</v>
      </c>
      <c r="E13" s="44">
        <f>E$6*E7</f>
        <v>0.21000000000000002</v>
      </c>
      <c r="F13" s="45">
        <f>SUM(C13:E13)</f>
        <v>0.43000000000000005</v>
      </c>
    </row>
    <row r="14" spans="2:6">
      <c r="B14" s="35" t="s">
        <v>27</v>
      </c>
      <c r="C14" s="56">
        <f t="shared" ref="C14:E15" si="0">C$6*C8</f>
        <v>6.0000000000000012E-2</v>
      </c>
      <c r="D14" s="45">
        <f t="shared" si="0"/>
        <v>0.15</v>
      </c>
      <c r="E14" s="48">
        <f t="shared" si="0"/>
        <v>6.0000000000000019E-2</v>
      </c>
      <c r="F14" s="49">
        <f>SUM(C14:E14)</f>
        <v>0.27</v>
      </c>
    </row>
    <row r="15" spans="2:6">
      <c r="B15" s="35" t="s">
        <v>22</v>
      </c>
      <c r="C15" s="50">
        <f t="shared" si="0"/>
        <v>0.12</v>
      </c>
      <c r="D15" s="51">
        <f t="shared" si="0"/>
        <v>0.15</v>
      </c>
      <c r="E15" s="52">
        <f t="shared" si="0"/>
        <v>3.0000000000000006E-2</v>
      </c>
      <c r="F15" s="50">
        <f>SUM(C15:E15)</f>
        <v>0.30000000000000004</v>
      </c>
    </row>
    <row r="16" spans="2:6">
      <c r="C16" s="45">
        <f>SUM(C13:C15)</f>
        <v>0.2</v>
      </c>
      <c r="D16" s="45">
        <f>SUM(D13:D15)</f>
        <v>0.5</v>
      </c>
      <c r="E16" s="44">
        <f>SUM(E13:E15)</f>
        <v>0.30000000000000004</v>
      </c>
      <c r="F16" s="53">
        <f t="shared" ref="F16" si="1">SUM(F13:F15)</f>
        <v>1</v>
      </c>
    </row>
    <row r="18" spans="2:6">
      <c r="B18" s="35" t="s">
        <v>31</v>
      </c>
      <c r="D18" s="45"/>
      <c r="E18" s="54"/>
    </row>
    <row r="19" spans="2:6">
      <c r="B19" s="35" t="s">
        <v>32</v>
      </c>
      <c r="F19" s="55">
        <f>C14/F14</f>
        <v>0.22222222222222224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85FD-E956-48D8-A18A-3F7C04661BB4}">
  <sheetPr codeName="Sheet12"/>
  <dimension ref="A2:C12"/>
  <sheetViews>
    <sheetView showGridLines="0" workbookViewId="0">
      <selection activeCell="C33" sqref="C33"/>
    </sheetView>
  </sheetViews>
  <sheetFormatPr defaultRowHeight="14.4"/>
  <cols>
    <col min="1" max="1" width="53.109375" customWidth="1"/>
    <col min="2" max="2" width="12.77734375" customWidth="1"/>
    <col min="3" max="3" width="30.21875" customWidth="1"/>
  </cols>
  <sheetData>
    <row r="2" spans="1:3">
      <c r="A2" s="41" t="s">
        <v>185</v>
      </c>
      <c r="C2" s="148" t="s">
        <v>184</v>
      </c>
    </row>
    <row r="3" spans="1:3">
      <c r="A3" t="s">
        <v>183</v>
      </c>
      <c r="C3" s="185">
        <v>0.1</v>
      </c>
    </row>
    <row r="4" spans="1:3">
      <c r="A4" t="s">
        <v>182</v>
      </c>
    </row>
    <row r="5" spans="1:3">
      <c r="A5" t="s">
        <v>181</v>
      </c>
      <c r="C5" s="148" t="s">
        <v>180</v>
      </c>
    </row>
    <row r="6" spans="1:3">
      <c r="C6" s="183">
        <f>1-C3</f>
        <v>0.9</v>
      </c>
    </row>
    <row r="8" spans="1:3">
      <c r="A8" s="148" t="s">
        <v>179</v>
      </c>
      <c r="B8" s="184">
        <f>3*(C3^2)*C6</f>
        <v>2.7000000000000007E-2</v>
      </c>
    </row>
    <row r="10" spans="1:3">
      <c r="A10" s="148" t="s">
        <v>178</v>
      </c>
      <c r="B10" s="183">
        <f>C3^3</f>
        <v>1.0000000000000002E-3</v>
      </c>
    </row>
    <row r="12" spans="1:3">
      <c r="A12" s="148" t="s">
        <v>177</v>
      </c>
      <c r="B12" s="183">
        <f>B10/(B8+B10)</f>
        <v>3.5714285714285712E-2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1403-0799-4855-8DD7-49B97096D6F7}">
  <sheetPr codeName="Sheet13"/>
  <dimension ref="B4:H14"/>
  <sheetViews>
    <sheetView showGridLines="0" workbookViewId="0">
      <selection activeCell="J27" sqref="J27"/>
    </sheetView>
  </sheetViews>
  <sheetFormatPr defaultRowHeight="14.4"/>
  <cols>
    <col min="2" max="2" width="14" customWidth="1"/>
    <col min="3" max="3" width="6.44140625" bestFit="1" customWidth="1"/>
    <col min="4" max="4" width="11.109375" bestFit="1" customWidth="1"/>
    <col min="5" max="6" width="12.6640625" customWidth="1"/>
    <col min="7" max="7" width="3.6640625" customWidth="1"/>
    <col min="8" max="8" width="14.109375" bestFit="1" customWidth="1"/>
  </cols>
  <sheetData>
    <row r="4" spans="2:8">
      <c r="C4" s="35"/>
      <c r="D4" s="35"/>
      <c r="E4" s="143" t="s">
        <v>108</v>
      </c>
      <c r="F4" s="143"/>
      <c r="G4" s="35"/>
      <c r="H4" s="130" t="s">
        <v>113</v>
      </c>
    </row>
    <row r="5" spans="2:8">
      <c r="C5" s="35"/>
      <c r="D5" s="35"/>
      <c r="E5" s="141" t="s">
        <v>110</v>
      </c>
      <c r="F5" s="141" t="s">
        <v>111</v>
      </c>
      <c r="G5" s="35"/>
      <c r="H5" s="128" t="s">
        <v>114</v>
      </c>
    </row>
    <row r="6" spans="2:8">
      <c r="C6" s="596" t="s">
        <v>109</v>
      </c>
      <c r="D6" s="148" t="s">
        <v>115</v>
      </c>
      <c r="E6" s="142">
        <v>0.15</v>
      </c>
      <c r="F6" s="145">
        <v>0.05</v>
      </c>
      <c r="G6" s="35"/>
      <c r="H6" s="153">
        <f>SUM(E6:F6)</f>
        <v>0.2</v>
      </c>
    </row>
    <row r="7" spans="2:8">
      <c r="C7" s="596"/>
      <c r="D7" s="148" t="s">
        <v>116</v>
      </c>
      <c r="E7" s="142">
        <v>0.3</v>
      </c>
      <c r="F7" s="146">
        <v>0.25</v>
      </c>
      <c r="G7" s="35"/>
      <c r="H7" s="56">
        <f>SUM(E7:F7)</f>
        <v>0.55000000000000004</v>
      </c>
    </row>
    <row r="8" spans="2:8">
      <c r="C8" s="596"/>
      <c r="D8" s="148" t="s">
        <v>117</v>
      </c>
      <c r="E8" s="144">
        <v>0.05</v>
      </c>
      <c r="F8" s="147">
        <v>0.2</v>
      </c>
      <c r="G8" s="35"/>
      <c r="H8" s="56">
        <f>SUM(E8:F8)</f>
        <v>0.25</v>
      </c>
    </row>
    <row r="9" spans="2:8">
      <c r="H9" s="152"/>
    </row>
    <row r="10" spans="2:8">
      <c r="C10" s="35"/>
      <c r="D10" s="66" t="s">
        <v>112</v>
      </c>
      <c r="E10" s="150">
        <f>SUM(E6:E8)</f>
        <v>0.49999999999999994</v>
      </c>
      <c r="F10" s="150">
        <f>SUM(F6:F8)</f>
        <v>0.5</v>
      </c>
      <c r="G10" s="151"/>
      <c r="H10" s="149">
        <f>SUM(E6:F8)</f>
        <v>1</v>
      </c>
    </row>
    <row r="12" spans="2:8">
      <c r="B12" t="s">
        <v>98</v>
      </c>
      <c r="E12" s="121">
        <f t="shared" ref="E12:F14" si="0">E6/E$10</f>
        <v>0.30000000000000004</v>
      </c>
      <c r="F12" s="121">
        <f t="shared" si="0"/>
        <v>0.1</v>
      </c>
      <c r="H12" s="123" t="s">
        <v>97</v>
      </c>
    </row>
    <row r="13" spans="2:8">
      <c r="B13" t="s">
        <v>96</v>
      </c>
      <c r="E13" s="121">
        <f t="shared" si="0"/>
        <v>0.60000000000000009</v>
      </c>
      <c r="F13" s="121">
        <f t="shared" si="0"/>
        <v>0.5</v>
      </c>
      <c r="H13" s="123" t="s">
        <v>95</v>
      </c>
    </row>
    <row r="14" spans="2:8">
      <c r="B14" t="s">
        <v>94</v>
      </c>
      <c r="E14" s="121">
        <f t="shared" si="0"/>
        <v>0.10000000000000002</v>
      </c>
      <c r="F14" s="121">
        <f t="shared" si="0"/>
        <v>0.4</v>
      </c>
    </row>
  </sheetData>
  <mergeCells count="1">
    <mergeCell ref="C6:C8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0B3E-02CA-4D1D-A34F-324829A8120E}">
  <sheetPr codeName="Sheet14"/>
  <dimension ref="A1:AC38"/>
  <sheetViews>
    <sheetView showGridLines="0" topLeftCell="A4" zoomScaleNormal="100" workbookViewId="0">
      <selection activeCell="S18" sqref="S18"/>
    </sheetView>
  </sheetViews>
  <sheetFormatPr defaultColWidth="9.6640625" defaultRowHeight="14.4"/>
  <cols>
    <col min="2" max="2" width="11.44140625" customWidth="1"/>
    <col min="4" max="4" width="11.109375" bestFit="1" customWidth="1"/>
    <col min="5" max="7" width="10.109375" customWidth="1"/>
    <col min="11" max="11" width="3.33203125" customWidth="1"/>
    <col min="13" max="13" width="10.6640625" customWidth="1"/>
    <col min="14" max="14" width="10.5546875" customWidth="1"/>
    <col min="15" max="15" width="10.6640625" customWidth="1"/>
  </cols>
  <sheetData>
    <row r="1" spans="1:29" s="155" customFormat="1">
      <c r="A1" s="156" t="s">
        <v>373</v>
      </c>
    </row>
    <row r="2" spans="1:29" s="155" customFormat="1"/>
    <row r="3" spans="1:29" s="155" customFormat="1"/>
    <row r="8" spans="1:29">
      <c r="L8" s="395"/>
      <c r="M8" s="394" t="s">
        <v>211</v>
      </c>
      <c r="N8" s="395"/>
      <c r="O8" s="394" t="s">
        <v>97</v>
      </c>
      <c r="P8" s="394" t="s">
        <v>33</v>
      </c>
      <c r="AA8" t="s">
        <v>372</v>
      </c>
      <c r="AB8" s="27">
        <v>0.2</v>
      </c>
      <c r="AC8" s="27">
        <v>0.75</v>
      </c>
    </row>
    <row r="9" spans="1:29">
      <c r="AA9" t="s">
        <v>192</v>
      </c>
      <c r="AB9" s="27">
        <v>0.6</v>
      </c>
      <c r="AC9" s="27">
        <v>0.5</v>
      </c>
    </row>
    <row r="10" spans="1:29">
      <c r="E10" s="26">
        <f>E19*E20</f>
        <v>0.06</v>
      </c>
      <c r="F10" s="26">
        <f>F19*F20</f>
        <v>0.18</v>
      </c>
      <c r="G10" s="26">
        <f>G19*G20</f>
        <v>0.44000000000000006</v>
      </c>
      <c r="M10" s="199"/>
      <c r="N10" s="213">
        <f>E17/E19</f>
        <v>0.4</v>
      </c>
      <c r="O10" s="38" t="s">
        <v>360</v>
      </c>
      <c r="P10" s="377">
        <f>L11*N10</f>
        <v>0.06</v>
      </c>
      <c r="AA10" t="s">
        <v>371</v>
      </c>
      <c r="AB10" s="27">
        <v>0.2</v>
      </c>
      <c r="AC10" s="27">
        <v>0.25</v>
      </c>
    </row>
    <row r="11" spans="1:29">
      <c r="L11" s="213">
        <f>E19</f>
        <v>0.15</v>
      </c>
      <c r="M11" s="393" t="str">
        <f>E15</f>
        <v>Value</v>
      </c>
      <c r="N11" s="213"/>
      <c r="P11" s="357"/>
    </row>
    <row r="12" spans="1:29">
      <c r="E12" s="94"/>
      <c r="F12" s="94"/>
      <c r="G12" s="94"/>
      <c r="H12" s="213"/>
      <c r="N12" s="213">
        <f>1-N10</f>
        <v>0.6</v>
      </c>
      <c r="O12" s="216" t="s">
        <v>358</v>
      </c>
      <c r="P12" s="392"/>
    </row>
    <row r="13" spans="1:29">
      <c r="E13" s="209"/>
      <c r="F13" s="209"/>
      <c r="G13" s="391"/>
      <c r="H13" s="211"/>
      <c r="J13" s="33"/>
      <c r="K13" s="33"/>
      <c r="N13" s="26"/>
      <c r="P13" s="357"/>
    </row>
    <row r="14" spans="1:29">
      <c r="E14" s="72" t="s">
        <v>364</v>
      </c>
      <c r="F14" s="72"/>
      <c r="G14" s="72"/>
      <c r="H14" s="213"/>
      <c r="N14" s="26"/>
      <c r="P14" s="357"/>
    </row>
    <row r="15" spans="1:29">
      <c r="E15" s="99" t="s">
        <v>370</v>
      </c>
      <c r="F15" s="188" t="s">
        <v>369</v>
      </c>
      <c r="G15" s="130" t="s">
        <v>368</v>
      </c>
      <c r="N15" s="226">
        <f>F17/F19</f>
        <v>0.6</v>
      </c>
      <c r="O15" s="38" t="s">
        <v>360</v>
      </c>
      <c r="P15" s="377">
        <f>L16*N15</f>
        <v>0.18</v>
      </c>
    </row>
    <row r="16" spans="1:29">
      <c r="E16" s="390" t="s">
        <v>367</v>
      </c>
      <c r="F16" s="389" t="s">
        <v>366</v>
      </c>
      <c r="G16" s="130" t="s">
        <v>365</v>
      </c>
      <c r="H16" s="25"/>
      <c r="J16" s="388" t="s">
        <v>364</v>
      </c>
      <c r="L16" s="213">
        <f>F19</f>
        <v>0.3</v>
      </c>
      <c r="M16" s="224" t="str">
        <f>F15</f>
        <v>Quality</v>
      </c>
      <c r="N16" s="226"/>
      <c r="P16" s="357"/>
    </row>
    <row r="17" spans="3:16">
      <c r="C17" s="597" t="s">
        <v>363</v>
      </c>
      <c r="D17" s="387" t="s">
        <v>362</v>
      </c>
      <c r="E17" s="386">
        <f>E19*0.4</f>
        <v>0.06</v>
      </c>
      <c r="F17" s="385">
        <f>F19*0.6</f>
        <v>0.18</v>
      </c>
      <c r="G17" s="384">
        <f>G19*0.8</f>
        <v>0.44000000000000006</v>
      </c>
      <c r="H17" s="110">
        <f>SUM(E17:G17)</f>
        <v>0.68</v>
      </c>
      <c r="I17" s="26"/>
      <c r="N17" s="226">
        <f>1-N15</f>
        <v>0.4</v>
      </c>
      <c r="O17" s="216" t="s">
        <v>358</v>
      </c>
      <c r="P17" s="371"/>
    </row>
    <row r="18" spans="3:16" ht="15" customHeight="1">
      <c r="C18" s="598"/>
      <c r="D18" s="383" t="s">
        <v>361</v>
      </c>
      <c r="E18" s="382">
        <f>E19-E17</f>
        <v>0.09</v>
      </c>
      <c r="F18" s="111">
        <f>F19-F17</f>
        <v>0.12</v>
      </c>
      <c r="G18" s="381">
        <f>G19-G17</f>
        <v>0.10999999999999999</v>
      </c>
      <c r="H18" s="111">
        <f>SUM(E18:G18)</f>
        <v>0.31999999999999995</v>
      </c>
      <c r="P18" s="357"/>
    </row>
    <row r="19" spans="3:16" ht="15" customHeight="1">
      <c r="E19" s="380">
        <v>0.15</v>
      </c>
      <c r="F19" s="380">
        <v>0.3</v>
      </c>
      <c r="G19" s="379">
        <v>0.55000000000000004</v>
      </c>
      <c r="H19" s="79">
        <f>SUM(E17:G18)</f>
        <v>1</v>
      </c>
      <c r="P19" s="357"/>
    </row>
    <row r="20" spans="3:16" ht="15" customHeight="1">
      <c r="E20" s="378">
        <f>E17/E19</f>
        <v>0.4</v>
      </c>
      <c r="F20" s="378">
        <f>F17/F19</f>
        <v>0.6</v>
      </c>
      <c r="G20" s="378">
        <f>G17/G19</f>
        <v>0.8</v>
      </c>
      <c r="H20" s="213"/>
      <c r="N20" s="226">
        <f>G17/G19</f>
        <v>0.8</v>
      </c>
      <c r="O20" s="38" t="s">
        <v>360</v>
      </c>
      <c r="P20" s="377">
        <f>L21*N20</f>
        <v>0.44000000000000006</v>
      </c>
    </row>
    <row r="21" spans="3:16" ht="15" customHeight="1">
      <c r="F21" s="209" t="s">
        <v>359</v>
      </c>
      <c r="G21" s="376">
        <v>1</v>
      </c>
      <c r="H21" s="213"/>
      <c r="L21" s="213">
        <f>G19</f>
        <v>0.55000000000000004</v>
      </c>
      <c r="M21" s="125" t="str">
        <f>G15</f>
        <v>Momentum</v>
      </c>
      <c r="N21" s="226"/>
    </row>
    <row r="22" spans="3:16" ht="15" customHeight="1">
      <c r="F22" s="375" t="str">
        <f>"P["&amp;G21&amp;"B] ="</f>
        <v>P[1B] =</v>
      </c>
      <c r="G22" s="110">
        <f>(E17/E19)^G21*E19+(F17/F19)^G21*F19+(G17/G19)^G21*G19</f>
        <v>0.68</v>
      </c>
      <c r="H22" s="213"/>
      <c r="I22" s="33">
        <v>0.46240000000000009</v>
      </c>
      <c r="N22" s="226">
        <f>1-N20</f>
        <v>0.19999999999999996</v>
      </c>
      <c r="O22" s="216" t="s">
        <v>358</v>
      </c>
      <c r="P22" s="34"/>
    </row>
    <row r="23" spans="3:16" ht="15" customHeight="1">
      <c r="F23" s="225" t="str">
        <f>"P["&amp;G21&amp;"B|MO] = P[B|MO]^"&amp;G21&amp;" = ("&amp;E17&amp;"/"&amp;E19&amp;")^"&amp;G21&amp;" = "</f>
        <v xml:space="preserve">P[1B|MO] = P[B|MO]^1 = (0.06/0.15)^1 = </v>
      </c>
      <c r="G23" s="110">
        <f>(E17/E19)^G21</f>
        <v>0.4</v>
      </c>
      <c r="H23" s="213"/>
    </row>
    <row r="24" spans="3:16" ht="15" customHeight="1">
      <c r="F24" s="225" t="str">
        <f>"P[MO|"&amp;G21&amp;"B] = P["&amp;G21&amp;"B|MO]*P[MO]/P["&amp;G21&amp;"B] = "&amp;TEXT(G23,"0.00")&amp;"*"&amp;TEXT(E19,"0.00")&amp;"/"&amp;TEXT(G22,"0.000")&amp;" ="</f>
        <v>P[MO|1B] = P[1B|MO]*P[MO]/P[1B] = 0.40*0.15/0.680 =</v>
      </c>
      <c r="G24" s="374">
        <f>G23*E19/G22</f>
        <v>8.8235294117647051E-2</v>
      </c>
      <c r="H24" s="371" t="str">
        <f>" &lt;-- from "&amp;TEXT(L11,"0.0%")</f>
        <v xml:space="preserve"> &lt;-- from 15.0%</v>
      </c>
    </row>
    <row r="25" spans="3:16" ht="15" customHeight="1">
      <c r="F25" s="225" t="str">
        <f>"P["&amp;G21&amp;"B|MI] = P[B|M1]^"&amp;$G$21&amp;" = ("&amp;F17&amp;"/"&amp;F19&amp;")^"&amp;$G$21&amp;" = "</f>
        <v xml:space="preserve">P[1B|MI] = P[B|M1]^1 = (0.18/0.3)^1 = </v>
      </c>
      <c r="G25" s="110">
        <f>(F17/F19)^$G$21</f>
        <v>0.6</v>
      </c>
      <c r="H25" s="213"/>
    </row>
    <row r="26" spans="3:16" ht="15" customHeight="1">
      <c r="F26" s="225" t="str">
        <f>"P[MI|"&amp;G21&amp;"B] = P["&amp;G21&amp;"B|MI]*P[MI]/P["&amp;G21&amp;"B] = "&amp;TEXT(G25,"0.00")&amp;"*"&amp;TEXT(F19,"0.00")&amp;"/"&amp;TEXT(G22,"0.000")&amp;" ="</f>
        <v>P[MI|1B] = P[1B|MI]*P[MI]/P[1B] = 0.60*0.30/0.680 =</v>
      </c>
      <c r="G26" s="373">
        <f>G25*F19/$G$22</f>
        <v>0.26470588235294112</v>
      </c>
      <c r="H26" s="371" t="str">
        <f>" &lt;-- from "&amp;TEXT(L16,"0.0%")</f>
        <v xml:space="preserve"> &lt;-- from 30.0%</v>
      </c>
      <c r="L26" s="33">
        <f>68%^2</f>
        <v>0.46240000000000009</v>
      </c>
    </row>
    <row r="27" spans="3:16" ht="15" customHeight="1">
      <c r="F27" s="225" t="str">
        <f>"P["&amp;G21&amp;"B|MU] = P[B|MU]^"&amp;$G$21&amp;" = ("&amp;G17&amp;"/"&amp;G19&amp;")^"&amp;$G$21&amp;" = "</f>
        <v xml:space="preserve">P[1B|MU] = P[B|MU]^1 = (0.44/0.55)^1 = </v>
      </c>
      <c r="G27" s="110">
        <f>(G17/G19)^$G$21</f>
        <v>0.8</v>
      </c>
      <c r="H27" s="213"/>
    </row>
    <row r="28" spans="3:16">
      <c r="F28" s="225" t="str">
        <f>"P[MU|"&amp;G21&amp;"B] = P["&amp;G21&amp;"B|MU]*P[MU]/P["&amp;G21&amp;"B] = "&amp;TEXT(G27,"0.00")&amp;"*"&amp;TEXT(G19,"0.00")&amp;"/"&amp;TEXT(G22,"0.000")&amp;" ="</f>
        <v>P[MU|1B] = P[1B|MU]*P[MU]/P[1B] = 0.80*0.55/0.680 =</v>
      </c>
      <c r="G28" s="372">
        <f>G27*G19/$G$22</f>
        <v>0.6470588235294118</v>
      </c>
      <c r="H28" s="371" t="str">
        <f>" &lt;-- from "&amp;TEXT(L21,"0.0%")</f>
        <v xml:space="preserve"> &lt;-- from 55.0%</v>
      </c>
    </row>
    <row r="29" spans="3:16">
      <c r="E29" s="96"/>
      <c r="F29" s="96"/>
      <c r="G29" s="96"/>
    </row>
    <row r="30" spans="3:16">
      <c r="E30" s="96"/>
      <c r="F30" s="91" t="s">
        <v>357</v>
      </c>
      <c r="G30" s="110">
        <f>G17/H17</f>
        <v>0.6470588235294118</v>
      </c>
    </row>
    <row r="31" spans="3:16">
      <c r="E31" s="96"/>
      <c r="F31" s="91" t="s">
        <v>356</v>
      </c>
      <c r="G31" s="110">
        <f>F17/H17</f>
        <v>0.26470588235294112</v>
      </c>
    </row>
    <row r="32" spans="3:16">
      <c r="E32" s="96"/>
      <c r="F32" s="91" t="s">
        <v>355</v>
      </c>
      <c r="G32" s="111">
        <f>E17/H17</f>
        <v>8.8235294117647051E-2</v>
      </c>
    </row>
    <row r="33" spans="5:9">
      <c r="E33" s="96"/>
      <c r="F33" s="91"/>
      <c r="G33" s="94">
        <f>SUM(G30:G32)</f>
        <v>1</v>
      </c>
    </row>
    <row r="34" spans="5:9">
      <c r="I34" s="34"/>
    </row>
    <row r="36" spans="5:9">
      <c r="E36" s="26">
        <f>E17/E19</f>
        <v>0.4</v>
      </c>
      <c r="F36" s="26">
        <f>F17/F19</f>
        <v>0.6</v>
      </c>
      <c r="G36" s="26">
        <f>G17/G19</f>
        <v>0.8</v>
      </c>
    </row>
    <row r="37" spans="5:9">
      <c r="E37" s="96">
        <f>E36^2</f>
        <v>0.16000000000000003</v>
      </c>
      <c r="F37" s="96">
        <f>F36^2</f>
        <v>0.36</v>
      </c>
      <c r="G37" s="96">
        <f>G36^2</f>
        <v>0.64000000000000012</v>
      </c>
    </row>
    <row r="38" spans="5:9">
      <c r="E38" s="32">
        <f>E37*E19</f>
        <v>2.4000000000000004E-2</v>
      </c>
      <c r="F38" s="32">
        <f>F37*F19</f>
        <v>0.108</v>
      </c>
      <c r="G38" s="32">
        <f>G37*G19</f>
        <v>0.35200000000000009</v>
      </c>
      <c r="H38" s="32">
        <f>E38+F38+G38</f>
        <v>0.4840000000000001</v>
      </c>
    </row>
  </sheetData>
  <mergeCells count="1">
    <mergeCell ref="C17:C18"/>
  </mergeCells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9CFA-BD85-49F6-B757-9A155D654CBF}">
  <sheetPr codeName="Sheet15"/>
  <dimension ref="C6:P16"/>
  <sheetViews>
    <sheetView showGridLines="0" workbookViewId="0">
      <selection activeCell="O23" sqref="O23"/>
    </sheetView>
  </sheetViews>
  <sheetFormatPr defaultRowHeight="14.4"/>
  <cols>
    <col min="2" max="2" width="14" customWidth="1"/>
    <col min="3" max="3" width="3.6640625" customWidth="1"/>
    <col min="4" max="4" width="8.5546875" customWidth="1"/>
    <col min="5" max="7" width="12.6640625" customWidth="1"/>
    <col min="8" max="8" width="14.109375" bestFit="1" customWidth="1"/>
  </cols>
  <sheetData>
    <row r="6" spans="3:16">
      <c r="C6" s="35"/>
      <c r="D6" s="35"/>
      <c r="E6" s="417" t="s">
        <v>100</v>
      </c>
      <c r="F6" s="417"/>
      <c r="G6" s="417"/>
    </row>
    <row r="7" spans="3:16">
      <c r="C7" s="35"/>
      <c r="D7" s="35"/>
      <c r="E7" s="416">
        <v>1</v>
      </c>
      <c r="F7" s="416">
        <v>3</v>
      </c>
      <c r="G7" s="416">
        <v>5</v>
      </c>
    </row>
    <row r="8" spans="3:16">
      <c r="C8" s="599" t="s">
        <v>11</v>
      </c>
      <c r="D8" s="409">
        <v>1</v>
      </c>
      <c r="E8" s="191">
        <v>0.06</v>
      </c>
      <c r="F8" s="415">
        <v>8.0000000000000016E-2</v>
      </c>
      <c r="G8" s="145">
        <v>5.9999999999999991E-2</v>
      </c>
      <c r="H8" s="414">
        <f>SUM(E8:G8)</f>
        <v>0.2</v>
      </c>
      <c r="L8">
        <f>H8*D8</f>
        <v>0.2</v>
      </c>
      <c r="M8">
        <f>D8^2</f>
        <v>1</v>
      </c>
      <c r="N8">
        <f>M8*H8</f>
        <v>0.2</v>
      </c>
      <c r="O8">
        <f>(D8-$L$11)^2</f>
        <v>1.1024999999999996</v>
      </c>
      <c r="P8">
        <f>O8*H8</f>
        <v>0.22049999999999992</v>
      </c>
    </row>
    <row r="9" spans="3:16">
      <c r="C9" s="599"/>
      <c r="D9" s="409">
        <v>2</v>
      </c>
      <c r="E9" s="413">
        <v>0.2</v>
      </c>
      <c r="F9" s="412">
        <v>0.2</v>
      </c>
      <c r="G9" s="411">
        <v>0.14999999999999997</v>
      </c>
      <c r="H9" s="410">
        <f>SUM(E9:G9)</f>
        <v>0.55000000000000004</v>
      </c>
      <c r="L9">
        <f>H9*D9</f>
        <v>1.1000000000000001</v>
      </c>
      <c r="M9">
        <f>D9^2</f>
        <v>4</v>
      </c>
      <c r="N9">
        <f>M9*H9</f>
        <v>2.2000000000000002</v>
      </c>
      <c r="O9">
        <f>(D9-$L$11)^2</f>
        <v>2.4999999999999823E-3</v>
      </c>
      <c r="P9">
        <f>O9*H9</f>
        <v>1.3749999999999904E-3</v>
      </c>
    </row>
    <row r="10" spans="3:16">
      <c r="C10" s="599"/>
      <c r="D10" s="409">
        <v>3</v>
      </c>
      <c r="E10" s="144">
        <v>9.0000000000000011E-2</v>
      </c>
      <c r="F10" s="195">
        <v>0.12000000000000002</v>
      </c>
      <c r="G10" s="408">
        <v>0.04</v>
      </c>
      <c r="H10" s="407">
        <f>SUM(E10:G10)</f>
        <v>0.25</v>
      </c>
      <c r="L10">
        <f>H10*D10</f>
        <v>0.75</v>
      </c>
      <c r="M10">
        <f>D10^2</f>
        <v>9</v>
      </c>
      <c r="N10">
        <f>M10*H10</f>
        <v>2.25</v>
      </c>
      <c r="O10">
        <f>(D10-$L$11)^2</f>
        <v>0.9025000000000003</v>
      </c>
      <c r="P10">
        <f>O10*H10</f>
        <v>0.22562500000000008</v>
      </c>
    </row>
    <row r="11" spans="3:16">
      <c r="C11" s="35"/>
      <c r="D11" s="66"/>
      <c r="E11" s="168">
        <f>SUM(E8:E10)</f>
        <v>0.35000000000000003</v>
      </c>
      <c r="F11" s="168">
        <f>SUM(F8:F10)</f>
        <v>0.4</v>
      </c>
      <c r="G11" s="168">
        <f>SUM(G8:G10)</f>
        <v>0.24999999999999997</v>
      </c>
      <c r="H11" s="149">
        <f>SUM(E8:G10)</f>
        <v>1</v>
      </c>
      <c r="L11" s="405">
        <f>SUM(L8:L10)</f>
        <v>2.0499999999999998</v>
      </c>
      <c r="M11" s="405"/>
      <c r="N11" s="406">
        <f>SUM(N8:N10)</f>
        <v>4.6500000000000004</v>
      </c>
      <c r="O11" s="405">
        <f>SUM(O8:O10)</f>
        <v>2.0074999999999998</v>
      </c>
      <c r="P11" s="405">
        <f>SUM(P8:P10)</f>
        <v>0.44750000000000001</v>
      </c>
    </row>
    <row r="12" spans="3:16">
      <c r="L12" s="25" t="s">
        <v>385</v>
      </c>
      <c r="M12" s="25"/>
      <c r="N12" s="25" t="s">
        <v>384</v>
      </c>
      <c r="O12" s="35"/>
    </row>
    <row r="13" spans="3:16">
      <c r="F13" s="66" t="s">
        <v>383</v>
      </c>
      <c r="G13" s="404">
        <f>F8</f>
        <v>8.0000000000000016E-2</v>
      </c>
      <c r="L13" s="25"/>
      <c r="M13" s="25"/>
      <c r="N13" s="25"/>
      <c r="O13" s="35"/>
    </row>
    <row r="14" spans="3:16">
      <c r="F14" s="66" t="s">
        <v>382</v>
      </c>
      <c r="G14" s="403" t="s">
        <v>381</v>
      </c>
      <c r="H14" s="402"/>
      <c r="L14" s="25"/>
      <c r="M14" s="25"/>
      <c r="N14" s="25"/>
      <c r="O14" s="35"/>
    </row>
    <row r="15" spans="3:16">
      <c r="F15" s="66" t="s">
        <v>380</v>
      </c>
      <c r="G15" s="401" t="s">
        <v>379</v>
      </c>
      <c r="H15" s="39"/>
      <c r="J15" s="34"/>
      <c r="L15" s="25"/>
      <c r="M15" s="25"/>
      <c r="N15" s="25"/>
      <c r="O15" s="35"/>
    </row>
    <row r="16" spans="3:16">
      <c r="L16" s="25"/>
      <c r="M16" s="25"/>
      <c r="N16" s="25"/>
      <c r="O16" s="35"/>
    </row>
  </sheetData>
  <mergeCells count="1">
    <mergeCell ref="C8:C10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BBF5-635F-4BEE-BD86-A18511C398EF}">
  <sheetPr codeName="Sheet16"/>
  <dimension ref="B4:U38"/>
  <sheetViews>
    <sheetView showGridLines="0" workbookViewId="0">
      <selection activeCell="I16" sqref="I16"/>
    </sheetView>
  </sheetViews>
  <sheetFormatPr defaultRowHeight="14.4"/>
  <cols>
    <col min="2" max="2" width="11.44140625" customWidth="1"/>
    <col min="3" max="3" width="11.5546875" customWidth="1"/>
    <col min="4" max="4" width="8.5546875" customWidth="1"/>
    <col min="5" max="7" width="12.6640625" customWidth="1"/>
    <col min="8" max="8" width="14.109375" bestFit="1" customWidth="1"/>
    <col min="10" max="10" width="24.44140625" customWidth="1"/>
  </cols>
  <sheetData>
    <row r="4" spans="3:19">
      <c r="C4" s="35"/>
      <c r="D4" s="35"/>
      <c r="E4" s="425" t="s">
        <v>396</v>
      </c>
      <c r="F4" s="425"/>
      <c r="G4" s="425"/>
    </row>
    <row r="5" spans="3:19">
      <c r="C5" s="35"/>
      <c r="D5" s="35"/>
      <c r="E5" s="424" t="s">
        <v>395</v>
      </c>
      <c r="F5" s="424" t="s">
        <v>394</v>
      </c>
      <c r="G5" s="424" t="s">
        <v>393</v>
      </c>
    </row>
    <row r="6" spans="3:19">
      <c r="C6" s="600" t="s">
        <v>392</v>
      </c>
      <c r="D6" s="422" t="s">
        <v>391</v>
      </c>
      <c r="E6" s="191">
        <v>0.03</v>
      </c>
      <c r="F6" s="192">
        <v>0.06</v>
      </c>
      <c r="G6" s="145">
        <v>0.05</v>
      </c>
      <c r="H6" s="414">
        <f>SUM(E6:G6)</f>
        <v>0.14000000000000001</v>
      </c>
      <c r="J6" s="601" t="s">
        <v>390</v>
      </c>
      <c r="K6" s="423">
        <f>E6/H6</f>
        <v>0.21428571428571425</v>
      </c>
    </row>
    <row r="7" spans="3:19">
      <c r="C7" s="600"/>
      <c r="D7" s="422" t="s">
        <v>389</v>
      </c>
      <c r="E7" s="193">
        <v>0.1</v>
      </c>
      <c r="F7" s="194">
        <v>0.3</v>
      </c>
      <c r="G7" s="146">
        <v>0.12</v>
      </c>
      <c r="H7" s="414">
        <f>SUM(E7:G7)</f>
        <v>0.52</v>
      </c>
      <c r="J7" s="601"/>
    </row>
    <row r="8" spans="3:19">
      <c r="C8" s="600"/>
      <c r="D8" s="422" t="s">
        <v>388</v>
      </c>
      <c r="E8" s="144">
        <v>0.06</v>
      </c>
      <c r="F8" s="195">
        <v>0.08</v>
      </c>
      <c r="G8" s="147">
        <v>0.2</v>
      </c>
      <c r="H8" s="414">
        <f>SUM(E8:G8)</f>
        <v>0.34</v>
      </c>
    </row>
    <row r="9" spans="3:19">
      <c r="C9" s="35"/>
      <c r="D9" s="66"/>
      <c r="E9" s="168">
        <f>SUM(E6:E8)</f>
        <v>0.19</v>
      </c>
      <c r="F9" s="168">
        <f>SUM(F6:F8)</f>
        <v>0.44</v>
      </c>
      <c r="G9" s="168">
        <f>SUM(G6:G8)</f>
        <v>0.37</v>
      </c>
      <c r="H9" s="149">
        <f>SUM(E6:G8)</f>
        <v>1</v>
      </c>
      <c r="J9" s="603" t="s">
        <v>387</v>
      </c>
      <c r="K9" s="421">
        <f>G8/H8</f>
        <v>0.58823529411764708</v>
      </c>
      <c r="L9" s="66"/>
      <c r="M9" s="66"/>
      <c r="N9" s="66"/>
      <c r="O9" s="66"/>
    </row>
    <row r="10" spans="3:19">
      <c r="C10" s="35"/>
      <c r="D10" s="66"/>
      <c r="E10" s="66"/>
      <c r="F10" s="66"/>
      <c r="G10" s="66"/>
      <c r="H10" s="66"/>
      <c r="I10" s="66"/>
      <c r="J10" s="603"/>
      <c r="K10" s="420"/>
      <c r="L10" s="66"/>
      <c r="M10" s="66"/>
      <c r="N10" s="66"/>
      <c r="O10" s="66"/>
      <c r="P10" s="66"/>
      <c r="Q10" s="66"/>
      <c r="R10" s="66"/>
      <c r="S10" s="66"/>
    </row>
    <row r="11" spans="3:19">
      <c r="C11" s="3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3:19">
      <c r="C12" s="35"/>
      <c r="D12" s="66"/>
      <c r="F12" s="66"/>
      <c r="G12" s="66"/>
      <c r="H12" s="66"/>
      <c r="I12" s="66"/>
      <c r="J12" s="602" t="s">
        <v>386</v>
      </c>
      <c r="K12" s="419">
        <f>E6/E9</f>
        <v>0.15789473684210525</v>
      </c>
      <c r="L12" s="66"/>
      <c r="M12" s="66"/>
      <c r="N12" s="66"/>
      <c r="O12" s="66"/>
      <c r="P12" s="66"/>
      <c r="Q12" s="66"/>
      <c r="R12" s="66"/>
      <c r="S12" s="66"/>
    </row>
    <row r="13" spans="3:19">
      <c r="C13" s="35"/>
      <c r="D13" s="66"/>
      <c r="E13" s="66"/>
      <c r="F13" s="66"/>
      <c r="G13" s="66"/>
      <c r="H13" s="66"/>
      <c r="I13" s="66"/>
      <c r="J13" s="602"/>
      <c r="K13" s="418"/>
      <c r="L13" s="66"/>
      <c r="M13" s="66"/>
      <c r="N13" s="66"/>
      <c r="O13" s="66"/>
      <c r="P13" s="66"/>
      <c r="Q13" s="66"/>
      <c r="R13" s="66"/>
      <c r="S13" s="66"/>
    </row>
    <row r="14" spans="3:19">
      <c r="C14" s="3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3:19">
      <c r="C15" s="3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3:19">
      <c r="C16" s="35"/>
      <c r="D16" s="66"/>
      <c r="E16" s="66"/>
      <c r="F16" s="66"/>
      <c r="G16" s="66"/>
      <c r="H16" s="53"/>
    </row>
    <row r="17" spans="2:21">
      <c r="C17" s="35"/>
      <c r="D17" s="66"/>
      <c r="E17" s="66"/>
      <c r="F17" s="66"/>
      <c r="G17" s="66"/>
      <c r="H17" s="53"/>
    </row>
    <row r="18" spans="2:21">
      <c r="K18" s="25"/>
      <c r="L18" s="25"/>
      <c r="M18" s="25"/>
      <c r="N18" s="35"/>
    </row>
    <row r="19" spans="2:21">
      <c r="M19" s="35"/>
    </row>
    <row r="20" spans="2:21">
      <c r="T20" s="25"/>
      <c r="U20" s="25"/>
    </row>
    <row r="21" spans="2:21">
      <c r="S21" s="34"/>
    </row>
    <row r="22" spans="2:21">
      <c r="S22" s="34"/>
    </row>
    <row r="23" spans="2:21">
      <c r="S23" s="34"/>
    </row>
    <row r="24" spans="2:21">
      <c r="S24" s="34"/>
    </row>
    <row r="25" spans="2:21">
      <c r="S25" s="34"/>
    </row>
    <row r="26" spans="2:21">
      <c r="S26" s="34"/>
    </row>
    <row r="27" spans="2:21">
      <c r="S27" s="34"/>
    </row>
    <row r="28" spans="2:21">
      <c r="S28" s="34"/>
    </row>
    <row r="29" spans="2:21">
      <c r="S29" s="34"/>
    </row>
    <row r="30" spans="2:21">
      <c r="B30" t="s">
        <v>98</v>
      </c>
      <c r="E30" s="121">
        <f>E6/E$9</f>
        <v>0.15789473684210525</v>
      </c>
      <c r="F30" s="121"/>
      <c r="G30" s="121">
        <f>G6/G$9</f>
        <v>0.13513513513513514</v>
      </c>
      <c r="H30" s="123" t="s">
        <v>97</v>
      </c>
    </row>
    <row r="31" spans="2:21">
      <c r="B31" t="s">
        <v>96</v>
      </c>
      <c r="E31" s="121">
        <f>E7/E$9</f>
        <v>0.52631578947368418</v>
      </c>
      <c r="F31" s="121"/>
      <c r="G31" s="121">
        <f>G7/G$9</f>
        <v>0.32432432432432434</v>
      </c>
      <c r="H31" s="123" t="s">
        <v>95</v>
      </c>
    </row>
    <row r="32" spans="2:21">
      <c r="B32" t="s">
        <v>94</v>
      </c>
      <c r="E32" s="121">
        <f>E8/E$9</f>
        <v>0.31578947368421051</v>
      </c>
      <c r="F32" s="121"/>
      <c r="G32" s="121">
        <f>G8/G$9</f>
        <v>0.54054054054054057</v>
      </c>
    </row>
    <row r="38" spans="12:12">
      <c r="L38" s="34"/>
    </row>
  </sheetData>
  <mergeCells count="4">
    <mergeCell ref="C6:C8"/>
    <mergeCell ref="J6:J7"/>
    <mergeCell ref="J12:J13"/>
    <mergeCell ref="J9:J10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F209-AA8F-4676-A1D7-FF899E869B42}">
  <sheetPr codeName="Sheet17"/>
  <dimension ref="C4:Q25"/>
  <sheetViews>
    <sheetView showGridLines="0" workbookViewId="0">
      <selection activeCell="J15" sqref="J15"/>
    </sheetView>
  </sheetViews>
  <sheetFormatPr defaultRowHeight="14.4"/>
  <cols>
    <col min="4" max="4" width="6.109375" customWidth="1"/>
    <col min="5" max="5" width="22.5546875" bestFit="1" customWidth="1"/>
  </cols>
  <sheetData>
    <row r="4" spans="3:17">
      <c r="E4" s="87" t="s">
        <v>378</v>
      </c>
      <c r="F4" s="87"/>
      <c r="G4" s="87"/>
      <c r="H4" s="87"/>
    </row>
    <row r="5" spans="3:17">
      <c r="E5" s="400" t="s">
        <v>350</v>
      </c>
      <c r="F5" s="400" t="s">
        <v>73</v>
      </c>
      <c r="G5" s="400" t="s">
        <v>375</v>
      </c>
      <c r="H5" s="400" t="s">
        <v>374</v>
      </c>
    </row>
    <row r="6" spans="3:17">
      <c r="C6" s="393"/>
      <c r="D6" s="398" t="s">
        <v>350</v>
      </c>
      <c r="E6" s="142">
        <v>0.92</v>
      </c>
      <c r="F6" s="142">
        <v>0.05</v>
      </c>
      <c r="G6" s="142">
        <v>0.02</v>
      </c>
      <c r="H6" s="79">
        <f>100%-SUM(E6:G6)</f>
        <v>9.9999999999998979E-3</v>
      </c>
      <c r="M6" s="26">
        <f>SUM(E6:H6)</f>
        <v>1</v>
      </c>
    </row>
    <row r="7" spans="3:17">
      <c r="C7" s="393" t="s">
        <v>377</v>
      </c>
      <c r="D7" s="398" t="s">
        <v>73</v>
      </c>
      <c r="E7" s="142">
        <v>0.03</v>
      </c>
      <c r="F7" s="142">
        <v>0.86</v>
      </c>
      <c r="G7" s="142">
        <v>0.08</v>
      </c>
      <c r="H7" s="79">
        <f>100%-SUM(E7:G7)</f>
        <v>3.0000000000000027E-2</v>
      </c>
      <c r="M7" s="26">
        <f>SUM(E7:H7)</f>
        <v>1</v>
      </c>
      <c r="P7" s="399">
        <f>E7*H6+F7*H7+G7*H8+H7</f>
        <v>6.4100000000000046E-2</v>
      </c>
    </row>
    <row r="8" spans="3:17">
      <c r="C8" s="393" t="s">
        <v>376</v>
      </c>
      <c r="D8" s="398" t="s">
        <v>375</v>
      </c>
      <c r="E8" s="142">
        <v>0</v>
      </c>
      <c r="F8" s="142">
        <v>0.15</v>
      </c>
      <c r="G8" s="142">
        <v>0.75</v>
      </c>
      <c r="H8" s="79">
        <f>100%-SUM(E8:G8)</f>
        <v>9.9999999999999978E-2</v>
      </c>
      <c r="M8" s="26">
        <f>SUM(E8:H8)</f>
        <v>1</v>
      </c>
      <c r="P8" s="397">
        <f>E7*H6+F7*H7+G7*H8</f>
        <v>3.4100000000000019E-2</v>
      </c>
    </row>
    <row r="9" spans="3:17">
      <c r="C9" s="393"/>
      <c r="D9" s="398" t="s">
        <v>374</v>
      </c>
      <c r="H9" s="79">
        <f>100%-SUM(E9:G9)</f>
        <v>1</v>
      </c>
      <c r="M9" s="26">
        <f>SUM(E9:H9)</f>
        <v>1</v>
      </c>
      <c r="P9" s="397">
        <f>1-F7^2</f>
        <v>0.26040000000000008</v>
      </c>
    </row>
    <row r="10" spans="3:17">
      <c r="P10" s="397">
        <f>1-97%^2</f>
        <v>5.9100000000000041E-2</v>
      </c>
    </row>
    <row r="12" spans="3:17">
      <c r="H12" s="34"/>
    </row>
    <row r="13" spans="3:17">
      <c r="P13" s="26"/>
      <c r="Q13" s="138"/>
    </row>
    <row r="15" spans="3:17">
      <c r="Q15" s="396"/>
    </row>
    <row r="16" spans="3:17">
      <c r="E16" s="34"/>
    </row>
    <row r="17" spans="5:5">
      <c r="E17" s="138"/>
    </row>
    <row r="19" spans="5:5">
      <c r="E19" s="396"/>
    </row>
    <row r="20" spans="5:5">
      <c r="E20" s="32"/>
    </row>
    <row r="23" spans="5:5">
      <c r="E23" s="396"/>
    </row>
    <row r="25" spans="5:5">
      <c r="E25" s="34"/>
    </row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905F-0EF9-4CBD-9D51-1BB764B0AAA1}">
  <sheetPr codeName="Sheet18"/>
  <dimension ref="A4:O32"/>
  <sheetViews>
    <sheetView showGridLines="0" workbookViewId="0">
      <selection activeCell="L26" sqref="L26"/>
    </sheetView>
  </sheetViews>
  <sheetFormatPr defaultRowHeight="14.4"/>
  <cols>
    <col min="6" max="6" width="13.88671875" customWidth="1"/>
  </cols>
  <sheetData>
    <row r="4" spans="2:6">
      <c r="B4" s="105" t="s">
        <v>11</v>
      </c>
      <c r="C4" s="105" t="s">
        <v>81</v>
      </c>
      <c r="D4" s="105" t="s">
        <v>82</v>
      </c>
      <c r="E4" s="64"/>
      <c r="F4" s="64"/>
    </row>
    <row r="5" spans="2:6">
      <c r="B5">
        <v>1</v>
      </c>
      <c r="C5">
        <f>B5^2</f>
        <v>1</v>
      </c>
      <c r="D5" s="31">
        <f>C5*$C$11</f>
        <v>1.8181818181818181E-2</v>
      </c>
      <c r="E5" s="65">
        <f>B5*D5</f>
        <v>1.8181818181818181E-2</v>
      </c>
      <c r="F5" s="65">
        <f>(B5-$E$10)^2*D5</f>
        <v>0.17370398196844475</v>
      </c>
    </row>
    <row r="6" spans="2:6">
      <c r="B6">
        <v>2</v>
      </c>
      <c r="C6">
        <f>B6^2</f>
        <v>4</v>
      </c>
      <c r="D6" s="31">
        <f>C6*$C$11</f>
        <v>7.2727272727272724E-2</v>
      </c>
      <c r="E6" s="65">
        <f>B6*D6</f>
        <v>0.14545454545454545</v>
      </c>
      <c r="F6" s="65">
        <f>(B6-$E$10)^2*D6</f>
        <v>0.31795642374154764</v>
      </c>
    </row>
    <row r="7" spans="2:6">
      <c r="B7">
        <v>3</v>
      </c>
      <c r="C7">
        <f>B7^2</f>
        <v>9</v>
      </c>
      <c r="D7" s="31">
        <f>C7*$C$11</f>
        <v>0.16363636363636364</v>
      </c>
      <c r="E7" s="65">
        <f>B7*D7</f>
        <v>0.49090909090909091</v>
      </c>
      <c r="F7" s="65">
        <f>(B7-$E$10)^2*D7</f>
        <v>0.19474079639368894</v>
      </c>
    </row>
    <row r="8" spans="2:6">
      <c r="B8">
        <v>4</v>
      </c>
      <c r="C8">
        <f>B8^2</f>
        <v>16</v>
      </c>
      <c r="D8" s="31">
        <f>C8*$C$11</f>
        <v>0.29090909090909089</v>
      </c>
      <c r="E8" s="65">
        <f>B8*D8</f>
        <v>1.1636363636363636</v>
      </c>
      <c r="F8" s="65">
        <f>(B8-$E$10)^2*D8</f>
        <v>2.4042073628850443E-3</v>
      </c>
    </row>
    <row r="9" spans="2:6">
      <c r="B9" s="60">
        <v>5</v>
      </c>
      <c r="C9" s="60">
        <f>B9^2</f>
        <v>25</v>
      </c>
      <c r="D9" s="106">
        <f>C9*$C$11</f>
        <v>0.45454545454545453</v>
      </c>
      <c r="E9" s="429">
        <f>B9*D9</f>
        <v>2.2727272727272725</v>
      </c>
      <c r="F9" s="429">
        <f>(B9-$E$10)^2*D9</f>
        <v>0.37565740045078894</v>
      </c>
    </row>
    <row r="10" spans="2:6">
      <c r="B10" t="s">
        <v>83</v>
      </c>
      <c r="C10" s="107">
        <f>SUM(C5:C9)</f>
        <v>55</v>
      </c>
      <c r="E10" s="291">
        <f>SUM(E5:E9)</f>
        <v>4.0909090909090908</v>
      </c>
      <c r="F10" s="291">
        <f>SUM(F5:F9)</f>
        <v>1.0644628099173552</v>
      </c>
    </row>
    <row r="11" spans="2:6">
      <c r="B11" t="s">
        <v>84</v>
      </c>
      <c r="C11">
        <f>1/C10</f>
        <v>1.8181818181818181E-2</v>
      </c>
      <c r="E11" s="65"/>
      <c r="F11" s="65">
        <f>SQRT(F10)</f>
        <v>1.0317280697535349</v>
      </c>
    </row>
    <row r="12" spans="2:6">
      <c r="E12" s="65">
        <f>E10-F11</f>
        <v>3.0591810211555561</v>
      </c>
      <c r="F12" s="83"/>
    </row>
    <row r="13" spans="2:6">
      <c r="E13" s="65"/>
    </row>
    <row r="14" spans="2:6">
      <c r="E14" s="65"/>
    </row>
    <row r="15" spans="2:6">
      <c r="E15" s="65"/>
    </row>
    <row r="16" spans="2:6">
      <c r="E16" s="65"/>
    </row>
    <row r="17" spans="1:15">
      <c r="B17" t="s">
        <v>85</v>
      </c>
      <c r="E17" s="65"/>
    </row>
    <row r="18" spans="1:15">
      <c r="B18">
        <v>1</v>
      </c>
      <c r="C18">
        <f>B18^3</f>
        <v>1</v>
      </c>
      <c r="D18" s="33">
        <f>C18*$C$22</f>
        <v>2.7777777777777776E-2</v>
      </c>
      <c r="E18" s="65">
        <f>D18*B18</f>
        <v>2.7777777777777776E-2</v>
      </c>
      <c r="G18" s="65">
        <f>(B18-$E$21)^2*D18</f>
        <v>8.2390260631001383E-2</v>
      </c>
      <c r="H18">
        <v>1</v>
      </c>
      <c r="I18" s="65">
        <f>B18*H18/36</f>
        <v>2.7777777777777776E-2</v>
      </c>
    </row>
    <row r="19" spans="1:15">
      <c r="B19">
        <v>2</v>
      </c>
      <c r="C19">
        <f>B19^3</f>
        <v>8</v>
      </c>
      <c r="D19" s="33">
        <f>C19*$C$22</f>
        <v>0.22222222222222221</v>
      </c>
      <c r="E19" s="65">
        <f>D19*B19</f>
        <v>0.44444444444444442</v>
      </c>
      <c r="G19" s="65">
        <f>(B19-$E$21)^2*D19</f>
        <v>0.11591220850480111</v>
      </c>
      <c r="H19">
        <v>8</v>
      </c>
      <c r="I19" s="65">
        <f>B19*H19/36</f>
        <v>0.44444444444444442</v>
      </c>
    </row>
    <row r="20" spans="1:15">
      <c r="B20" s="60">
        <v>3</v>
      </c>
      <c r="C20" s="60">
        <f>B20^3</f>
        <v>27</v>
      </c>
      <c r="D20" s="430">
        <f>C20*$C$22</f>
        <v>0.75</v>
      </c>
      <c r="E20" s="429">
        <f>D20*B20</f>
        <v>2.25</v>
      </c>
      <c r="G20" s="65">
        <f>(B20-$E$21)^2*D20</f>
        <v>5.7870370370370322E-2</v>
      </c>
      <c r="H20">
        <v>27</v>
      </c>
      <c r="I20" s="65">
        <f>B20*H20/36</f>
        <v>2.25</v>
      </c>
    </row>
    <row r="21" spans="1:15">
      <c r="C21">
        <f>SUM(C18:C20)</f>
        <v>36</v>
      </c>
      <c r="E21" s="65">
        <f>SUM(E18:E20)</f>
        <v>2.7222222222222223</v>
      </c>
      <c r="F21" s="427" t="s">
        <v>249</v>
      </c>
      <c r="G21" s="314">
        <f>SUM(G18:G20)</f>
        <v>0.25617283950617281</v>
      </c>
      <c r="O21">
        <f>SUM(D30:D32)</f>
        <v>1</v>
      </c>
    </row>
    <row r="22" spans="1:15">
      <c r="C22">
        <f>1/C21</f>
        <v>2.7777777777777776E-2</v>
      </c>
      <c r="E22" s="65"/>
      <c r="F22" s="427" t="s">
        <v>398</v>
      </c>
      <c r="G22" s="426">
        <f>SQRT(G21)</f>
        <v>0.50613519884134994</v>
      </c>
    </row>
    <row r="23" spans="1:15">
      <c r="E23" s="65"/>
      <c r="F23" s="428" t="s">
        <v>397</v>
      </c>
      <c r="G23" s="426">
        <f>C20/C21</f>
        <v>0.75</v>
      </c>
    </row>
    <row r="24" spans="1:15">
      <c r="E24" s="65"/>
      <c r="F24" s="427" t="s">
        <v>335</v>
      </c>
      <c r="G24" s="426">
        <f>SUM(E30:E32)</f>
        <v>2.7222222222222223</v>
      </c>
    </row>
    <row r="25" spans="1:15">
      <c r="E25" s="65"/>
    </row>
    <row r="26" spans="1:15">
      <c r="E26" s="65"/>
    </row>
    <row r="27" spans="1:15">
      <c r="E27" s="65"/>
    </row>
    <row r="28" spans="1:15">
      <c r="E28" s="65"/>
    </row>
    <row r="29" spans="1:15">
      <c r="E29" s="65"/>
    </row>
    <row r="30" spans="1:15">
      <c r="A30">
        <v>1</v>
      </c>
      <c r="B30">
        <f>B18^3</f>
        <v>1</v>
      </c>
      <c r="C30" s="65">
        <f>1/36</f>
        <v>2.7777777777777776E-2</v>
      </c>
      <c r="D30" s="31">
        <f>B30*C30</f>
        <v>2.7777777777777776E-2</v>
      </c>
      <c r="E30" s="65">
        <f>A30*D30</f>
        <v>2.7777777777777776E-2</v>
      </c>
      <c r="G30" s="31">
        <f>A30^3/36</f>
        <v>2.7777777777777776E-2</v>
      </c>
      <c r="I30" s="65">
        <f>B30/36</f>
        <v>2.7777777777777776E-2</v>
      </c>
    </row>
    <row r="31" spans="1:15">
      <c r="A31">
        <v>2</v>
      </c>
      <c r="B31">
        <f>B19^3</f>
        <v>8</v>
      </c>
      <c r="C31" s="65">
        <f>1/36</f>
        <v>2.7777777777777776E-2</v>
      </c>
      <c r="D31" s="31">
        <f>B31*C31</f>
        <v>0.22222222222222221</v>
      </c>
      <c r="E31" s="65">
        <f>A31*D31</f>
        <v>0.44444444444444442</v>
      </c>
      <c r="G31" s="31">
        <f>A31^3/36</f>
        <v>0.22222222222222221</v>
      </c>
      <c r="I31" s="65">
        <f>B31/36</f>
        <v>0.22222222222222221</v>
      </c>
    </row>
    <row r="32" spans="1:15">
      <c r="A32">
        <v>3</v>
      </c>
      <c r="B32">
        <f>B20^3</f>
        <v>27</v>
      </c>
      <c r="C32" s="65">
        <f>1/36</f>
        <v>2.7777777777777776E-2</v>
      </c>
      <c r="D32" s="31">
        <f>B32*C32</f>
        <v>0.75</v>
      </c>
      <c r="E32" s="65">
        <f>A32*D32</f>
        <v>2.25</v>
      </c>
      <c r="G32" s="31">
        <f>A32^3/36</f>
        <v>0.75</v>
      </c>
      <c r="I32" s="65">
        <f>B32/36</f>
        <v>0.75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37E3-5A7B-487C-A926-BB0CD3E0F0D2}">
  <sheetPr codeName="Sheet19"/>
  <dimension ref="A1:A2"/>
  <sheetViews>
    <sheetView showGridLines="0" workbookViewId="0">
      <selection activeCell="R36" sqref="R36"/>
    </sheetView>
  </sheetViews>
  <sheetFormatPr defaultColWidth="9.109375" defaultRowHeight="13.2"/>
  <cols>
    <col min="1" max="8" width="9.109375" style="157"/>
    <col min="9" max="9" width="3.44140625" style="157" customWidth="1"/>
    <col min="10" max="16384" width="9.109375" style="157"/>
  </cols>
  <sheetData>
    <row r="1" spans="1:1" s="155" customFormat="1" ht="14.4">
      <c r="A1" s="156" t="s">
        <v>127</v>
      </c>
    </row>
    <row r="2" spans="1:1" s="155" customFormat="1" ht="14.4"/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3050-381A-4BB4-A38A-465EDE53EEE2}">
  <sheetPr codeName="Sheet20"/>
  <dimension ref="A1:A2"/>
  <sheetViews>
    <sheetView showGridLines="0" workbookViewId="0">
      <selection sqref="A1:XFD1048576"/>
    </sheetView>
  </sheetViews>
  <sheetFormatPr defaultColWidth="9.109375" defaultRowHeight="13.2"/>
  <cols>
    <col min="1" max="8" width="9.109375" style="157"/>
    <col min="9" max="9" width="3.44140625" style="157" customWidth="1"/>
    <col min="10" max="16384" width="9.109375" style="157"/>
  </cols>
  <sheetData>
    <row r="1" spans="1:1" s="155" customFormat="1" ht="14.4">
      <c r="A1" s="156" t="s">
        <v>127</v>
      </c>
    </row>
    <row r="2" spans="1:1" s="155" customFormat="1" ht="14.4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AF6D-B5D0-4346-A7ED-E43A1C5EB4F7}">
  <sheetPr codeName="Sheet21"/>
  <dimension ref="A1:AN26"/>
  <sheetViews>
    <sheetView showGridLines="0" workbookViewId="0">
      <selection activeCell="K36" sqref="K36"/>
    </sheetView>
  </sheetViews>
  <sheetFormatPr defaultColWidth="9.109375" defaultRowHeight="13.8"/>
  <cols>
    <col min="1" max="1" width="9.109375" style="249"/>
    <col min="2" max="2" width="6.88671875" style="249" customWidth="1"/>
    <col min="3" max="3" width="8.88671875" style="249" customWidth="1"/>
    <col min="4" max="5" width="9.109375" style="249"/>
    <col min="6" max="7" width="10.6640625" style="249" customWidth="1"/>
    <col min="8" max="8" width="9.109375" style="249"/>
    <col min="9" max="9" width="6.44140625" style="249" customWidth="1"/>
    <col min="10" max="10" width="9.109375" style="250"/>
    <col min="11" max="11" width="7.5546875" style="250" customWidth="1"/>
    <col min="12" max="13" width="10.6640625" style="250" customWidth="1"/>
    <col min="14" max="14" width="12.88671875" style="250" customWidth="1"/>
    <col min="15" max="16" width="11.6640625" style="250" customWidth="1"/>
    <col min="17" max="21" width="10.6640625" style="250" customWidth="1"/>
    <col min="22" max="16384" width="9.109375" style="249"/>
  </cols>
  <sheetData>
    <row r="1" spans="1:40" s="248" customFormat="1" ht="14.4">
      <c r="A1" s="244"/>
      <c r="B1" s="245" t="s">
        <v>234</v>
      </c>
      <c r="C1" s="246"/>
      <c r="D1" s="246"/>
      <c r="E1" s="246"/>
      <c r="F1" s="246"/>
      <c r="G1" s="246"/>
      <c r="H1" s="247"/>
    </row>
    <row r="3" spans="1:40">
      <c r="R3" s="251" t="s">
        <v>235</v>
      </c>
      <c r="S3" s="251" t="s">
        <v>11</v>
      </c>
      <c r="T3" s="252" t="s">
        <v>236</v>
      </c>
      <c r="U3" s="249"/>
    </row>
    <row r="4" spans="1:40">
      <c r="B4" s="253" t="s">
        <v>237</v>
      </c>
      <c r="R4" s="254"/>
      <c r="S4" s="254"/>
      <c r="T4" s="252"/>
      <c r="U4" s="249"/>
    </row>
    <row r="5" spans="1:40">
      <c r="B5" s="255">
        <v>4</v>
      </c>
      <c r="C5" s="256"/>
      <c r="R5" s="254"/>
      <c r="S5" s="254"/>
      <c r="T5" s="252"/>
      <c r="U5" s="249"/>
    </row>
    <row r="6" spans="1:40">
      <c r="B6" s="604">
        <v>0.3</v>
      </c>
      <c r="C6" s="604"/>
      <c r="D6" s="252"/>
      <c r="E6" s="257" t="s">
        <v>238</v>
      </c>
      <c r="F6" s="257"/>
      <c r="G6" s="257"/>
      <c r="R6" s="258">
        <v>0</v>
      </c>
      <c r="S6" s="250">
        <f>B9</f>
        <v>0</v>
      </c>
      <c r="T6" s="250">
        <f>S6-0.5</f>
        <v>-0.5</v>
      </c>
      <c r="U6" s="249">
        <f t="array" ref="U6:U11">FREQUENCY($K$15:$K$16,$T$6:$T$11)</f>
        <v>0</v>
      </c>
    </row>
    <row r="7" spans="1:40">
      <c r="B7" s="259"/>
      <c r="C7" s="252"/>
      <c r="D7" s="252"/>
      <c r="E7" s="257" t="s">
        <v>239</v>
      </c>
      <c r="F7" s="257" t="s">
        <v>240</v>
      </c>
      <c r="G7" s="257" t="s">
        <v>241</v>
      </c>
      <c r="R7" s="258">
        <f>C9</f>
        <v>0.24009999999999998</v>
      </c>
      <c r="S7" s="250">
        <f>B10</f>
        <v>1</v>
      </c>
      <c r="T7" s="250">
        <f>T6+1</f>
        <v>0.5</v>
      </c>
      <c r="U7" s="249">
        <v>0</v>
      </c>
    </row>
    <row r="8" spans="1:40" ht="15.6">
      <c r="B8" s="260" t="s">
        <v>11</v>
      </c>
      <c r="C8" s="260" t="s">
        <v>242</v>
      </c>
      <c r="D8" s="260" t="s">
        <v>243</v>
      </c>
      <c r="E8" s="261" t="s">
        <v>244</v>
      </c>
      <c r="F8" s="261" t="s">
        <v>245</v>
      </c>
      <c r="G8" s="261" t="s">
        <v>246</v>
      </c>
      <c r="R8" s="258">
        <f>R7+C10</f>
        <v>0.65169999999999995</v>
      </c>
      <c r="S8" s="250">
        <f>B11</f>
        <v>2</v>
      </c>
      <c r="T8" s="250">
        <f t="shared" ref="T8:T11" si="0">T7+1</f>
        <v>1.5</v>
      </c>
      <c r="U8" s="249">
        <v>1</v>
      </c>
    </row>
    <row r="9" spans="1:40">
      <c r="B9" s="252">
        <v>0</v>
      </c>
      <c r="C9" s="258">
        <f>_xlfn.BINOM.DIST(B9,4,$S$13,FALSE)</f>
        <v>0.24009999999999998</v>
      </c>
      <c r="D9" s="262">
        <f>B9*C9</f>
        <v>0</v>
      </c>
      <c r="E9" s="262">
        <f>$C9*($B9-mu)^2</f>
        <v>0.34574399999999977</v>
      </c>
      <c r="F9" s="262">
        <f>$C9*($B9-mu)^3</f>
        <v>-0.41489279999999962</v>
      </c>
      <c r="G9" s="262">
        <f>$C9*($B9-mu)^4</f>
        <v>0.49787135999999949</v>
      </c>
      <c r="J9" s="250">
        <f>(B9-mu)^2</f>
        <v>1.4399999999999993</v>
      </c>
      <c r="K9" s="250">
        <f>C9*J9</f>
        <v>0.34574399999999977</v>
      </c>
      <c r="R9" s="258">
        <f>R8+C11</f>
        <v>0.91629999999999989</v>
      </c>
      <c r="S9" s="250">
        <f>B12</f>
        <v>3</v>
      </c>
      <c r="T9" s="250">
        <f t="shared" si="0"/>
        <v>2.5</v>
      </c>
      <c r="U9" s="249">
        <v>0</v>
      </c>
    </row>
    <row r="10" spans="1:40">
      <c r="B10" s="252">
        <v>1</v>
      </c>
      <c r="C10" s="258">
        <f>_xlfn.BINOM.DIST(B10,4,$S$13,FALSE)</f>
        <v>0.41159999999999991</v>
      </c>
      <c r="D10" s="262">
        <f>B10*C10</f>
        <v>0.41159999999999991</v>
      </c>
      <c r="E10" s="262">
        <f>$C10*($B10-mu)^2</f>
        <v>1.6463999999999954E-2</v>
      </c>
      <c r="F10" s="262">
        <f>$C10*($B10-mu)^3</f>
        <v>-3.2927999999999864E-3</v>
      </c>
      <c r="G10" s="262">
        <f>$C10*($B10-mu)^4</f>
        <v>6.5855999999999651E-4</v>
      </c>
      <c r="J10" s="250">
        <f>(B10-mu)^2</f>
        <v>3.9999999999999897E-2</v>
      </c>
      <c r="K10" s="250">
        <f t="shared" ref="K10:K13" si="1">C10*J10</f>
        <v>1.6463999999999954E-2</v>
      </c>
      <c r="R10" s="258">
        <f>R9+C12</f>
        <v>0.99189999999999989</v>
      </c>
      <c r="S10" s="250">
        <f>B13</f>
        <v>4</v>
      </c>
      <c r="T10" s="250">
        <f t="shared" si="0"/>
        <v>3.5</v>
      </c>
      <c r="U10" s="249">
        <v>0</v>
      </c>
    </row>
    <row r="11" spans="1:40">
      <c r="B11" s="252">
        <v>2</v>
      </c>
      <c r="C11" s="258">
        <f>_xlfn.BINOM.DIST(B11,4,$S$13,FALSE)</f>
        <v>0.2646</v>
      </c>
      <c r="D11" s="262">
        <f>B11*C11</f>
        <v>0.5292</v>
      </c>
      <c r="E11" s="262">
        <f>$C11*($B11-mu)^2</f>
        <v>0.16934400000000013</v>
      </c>
      <c r="F11" s="262">
        <f>$C11*($B11-mu)^3</f>
        <v>0.13547520000000016</v>
      </c>
      <c r="G11" s="262">
        <f>$C11*($B11-mu)^4</f>
        <v>0.10838016000000016</v>
      </c>
      <c r="J11" s="250">
        <f>(B11-mu)^2</f>
        <v>0.64000000000000046</v>
      </c>
      <c r="K11" s="250">
        <f t="shared" si="1"/>
        <v>0.16934400000000013</v>
      </c>
      <c r="R11" s="258">
        <f>R10+C13</f>
        <v>0.99999999999999989</v>
      </c>
      <c r="S11" s="249"/>
      <c r="T11" s="250">
        <f t="shared" si="0"/>
        <v>4.5</v>
      </c>
      <c r="U11" s="249">
        <v>0</v>
      </c>
    </row>
    <row r="12" spans="1:40">
      <c r="B12" s="252">
        <v>3</v>
      </c>
      <c r="C12" s="258">
        <f>_xlfn.BINOM.DIST(B12,4,$S$13,FALSE)</f>
        <v>7.5599999999999987E-2</v>
      </c>
      <c r="D12" s="262">
        <f>B12*C12</f>
        <v>0.22679999999999995</v>
      </c>
      <c r="E12" s="262">
        <f>$C12*($B12-mu)^2</f>
        <v>0.24494400000000005</v>
      </c>
      <c r="F12" s="262">
        <f>$C12*($B12-mu)^3</f>
        <v>0.4408992000000001</v>
      </c>
      <c r="G12" s="262">
        <f>$C12*($B12-mu)^4</f>
        <v>0.79361856000000042</v>
      </c>
      <c r="J12" s="250">
        <f>(B12-mu)^2</f>
        <v>3.2400000000000011</v>
      </c>
      <c r="K12" s="250">
        <f t="shared" si="1"/>
        <v>0.24494400000000005</v>
      </c>
      <c r="V12" s="263"/>
      <c r="AN12" s="264"/>
    </row>
    <row r="13" spans="1:40">
      <c r="B13" s="252">
        <v>4</v>
      </c>
      <c r="C13" s="258">
        <f>_xlfn.BINOM.DIST(B13,4,$S$13,FALSE)</f>
        <v>8.0999999999999961E-3</v>
      </c>
      <c r="D13" s="262">
        <f>B13*C13</f>
        <v>3.2399999999999984E-2</v>
      </c>
      <c r="E13" s="262">
        <f>$C13*($B13-mu)^2</f>
        <v>6.3503999999999977E-2</v>
      </c>
      <c r="F13" s="265">
        <f>$C13*($B13-mu)^3</f>
        <v>0.17781119999999995</v>
      </c>
      <c r="G13" s="265">
        <f>$C13*($B13-mu)^4</f>
        <v>0.49787135999999993</v>
      </c>
      <c r="J13" s="250">
        <f>(B13-mu)^2</f>
        <v>7.8400000000000016</v>
      </c>
      <c r="K13" s="250">
        <f t="shared" si="1"/>
        <v>6.3503999999999977E-2</v>
      </c>
      <c r="R13" s="250" t="s">
        <v>247</v>
      </c>
      <c r="S13" s="266">
        <f>B6</f>
        <v>0.3</v>
      </c>
      <c r="V13" s="263"/>
    </row>
    <row r="14" spans="1:40">
      <c r="B14" s="267" t="s">
        <v>87</v>
      </c>
      <c r="C14" s="268">
        <f>SUM(C9:C13)</f>
        <v>0.99999999999999989</v>
      </c>
      <c r="D14" s="269">
        <f>SUM(D9:D13)</f>
        <v>1.1999999999999997</v>
      </c>
      <c r="E14" s="270">
        <f>SUM(E9:E13)</f>
        <v>0.84</v>
      </c>
      <c r="F14" s="270">
        <f>SUM(F9:F13)</f>
        <v>0.33600000000000058</v>
      </c>
      <c r="G14" s="270">
        <f>SUM(G9:G13)</f>
        <v>1.8984000000000001</v>
      </c>
      <c r="I14" s="252"/>
      <c r="J14" s="252"/>
      <c r="K14" s="271">
        <f>SUM(K9:K13)</f>
        <v>0.84</v>
      </c>
      <c r="L14" s="272"/>
      <c r="M14" s="272"/>
      <c r="S14" s="250">
        <f>(1-2*S13)/SQRT(4*S13*(1-S13))</f>
        <v>0.43643578047198478</v>
      </c>
    </row>
    <row r="15" spans="1:40">
      <c r="C15" s="250"/>
      <c r="D15" s="250"/>
      <c r="E15" s="273">
        <f>E14</f>
        <v>0.84</v>
      </c>
      <c r="F15" s="273">
        <f>F14/K15^3</f>
        <v>0.43643578047198556</v>
      </c>
      <c r="G15" s="273">
        <f>G14/E15^2</f>
        <v>2.6904761904761911</v>
      </c>
      <c r="I15" s="252"/>
      <c r="J15" s="274"/>
      <c r="K15" s="275">
        <f>SQRT(K14)</f>
        <v>0.91651513899116799</v>
      </c>
      <c r="L15" s="274"/>
      <c r="M15" s="274"/>
    </row>
    <row r="16" spans="1:40" ht="14.4">
      <c r="E16" s="276" t="s">
        <v>248</v>
      </c>
      <c r="F16" s="276" t="s">
        <v>248</v>
      </c>
      <c r="G16" s="276" t="s">
        <v>248</v>
      </c>
      <c r="I16" s="252"/>
      <c r="J16" s="274"/>
      <c r="K16" s="277"/>
      <c r="L16" s="274"/>
      <c r="M16" s="274"/>
      <c r="S16" s="250">
        <f>40%*4</f>
        <v>1.6</v>
      </c>
    </row>
    <row r="17" spans="5:7">
      <c r="E17" s="254" t="s">
        <v>249</v>
      </c>
      <c r="F17" s="254" t="s">
        <v>250</v>
      </c>
      <c r="G17" s="254" t="s">
        <v>251</v>
      </c>
    </row>
    <row r="26" spans="5:7">
      <c r="F26" s="249">
        <f>(0 - 1.2)^2 * 24% + (1 - 1.2)^2 * 41.2% + (2 - 1.2)^2 * 26.5% + (3 - 1.2)^2 * 7.6% + (4 - 1.2)^2 * 0.8%</f>
        <v>0.84063999999999994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12D8-E8C1-4C47-9F04-92C29FBDE7C0}">
  <sheetPr codeName="Sheet22"/>
  <dimension ref="A1:AN26"/>
  <sheetViews>
    <sheetView showGridLines="0" workbookViewId="0">
      <selection activeCell="O36" sqref="O36"/>
    </sheetView>
  </sheetViews>
  <sheetFormatPr defaultColWidth="9.109375" defaultRowHeight="13.8"/>
  <cols>
    <col min="1" max="1" width="9.109375" style="249"/>
    <col min="2" max="2" width="6.88671875" style="249" customWidth="1"/>
    <col min="3" max="3" width="8.88671875" style="249" customWidth="1"/>
    <col min="4" max="5" width="9.109375" style="249"/>
    <col min="6" max="7" width="10.6640625" style="249" customWidth="1"/>
    <col min="8" max="8" width="9.109375" style="249"/>
    <col min="9" max="9" width="6.44140625" style="249" customWidth="1"/>
    <col min="10" max="10" width="9.109375" style="250"/>
    <col min="11" max="11" width="7.5546875" style="250" customWidth="1"/>
    <col min="12" max="13" width="10.6640625" style="250" customWidth="1"/>
    <col min="14" max="14" width="12.88671875" style="250" customWidth="1"/>
    <col min="15" max="16" width="11.6640625" style="250" customWidth="1"/>
    <col min="17" max="21" width="10.6640625" style="250" customWidth="1"/>
    <col min="22" max="16384" width="9.109375" style="249"/>
  </cols>
  <sheetData>
    <row r="1" spans="1:40" s="248" customFormat="1" ht="14.4">
      <c r="A1" s="244"/>
      <c r="B1" s="245" t="s">
        <v>234</v>
      </c>
      <c r="C1" s="246"/>
      <c r="D1" s="246"/>
      <c r="E1" s="246"/>
      <c r="F1" s="246"/>
      <c r="G1" s="246"/>
      <c r="H1" s="247"/>
    </row>
    <row r="3" spans="1:40">
      <c r="R3" s="251" t="s">
        <v>235</v>
      </c>
      <c r="S3" s="251" t="s">
        <v>11</v>
      </c>
      <c r="T3" s="252" t="s">
        <v>236</v>
      </c>
      <c r="U3" s="249"/>
    </row>
    <row r="4" spans="1:40">
      <c r="B4" s="253" t="s">
        <v>237</v>
      </c>
      <c r="R4" s="254"/>
      <c r="S4" s="254"/>
      <c r="T4" s="252"/>
      <c r="U4" s="249"/>
    </row>
    <row r="5" spans="1:40">
      <c r="B5" s="255">
        <v>4</v>
      </c>
      <c r="C5" s="256"/>
      <c r="R5" s="254"/>
      <c r="S5" s="254"/>
      <c r="T5" s="252"/>
      <c r="U5" s="249"/>
    </row>
    <row r="6" spans="1:40">
      <c r="B6" s="604">
        <v>0.3</v>
      </c>
      <c r="C6" s="604"/>
      <c r="D6" s="252"/>
      <c r="E6" s="257" t="s">
        <v>238</v>
      </c>
      <c r="F6" s="257"/>
      <c r="G6" s="257"/>
      <c r="R6" s="258">
        <v>0</v>
      </c>
      <c r="S6" s="250">
        <f>B9</f>
        <v>0</v>
      </c>
      <c r="T6" s="250">
        <f>S6-0.5</f>
        <v>-0.5</v>
      </c>
      <c r="U6" s="249">
        <f t="array" ref="U6:U11">FREQUENCY($K$15:$K$16,$T$6:$T$11)</f>
        <v>0</v>
      </c>
    </row>
    <row r="7" spans="1:40">
      <c r="B7" s="259"/>
      <c r="C7" s="252"/>
      <c r="D7" s="252"/>
      <c r="E7" s="257" t="s">
        <v>239</v>
      </c>
      <c r="F7" s="257" t="s">
        <v>240</v>
      </c>
      <c r="G7" s="257" t="s">
        <v>241</v>
      </c>
      <c r="R7" s="258">
        <f>C9</f>
        <v>0.24009999999999998</v>
      </c>
      <c r="S7" s="250">
        <f>B10</f>
        <v>1</v>
      </c>
      <c r="T7" s="250">
        <f>T6+1</f>
        <v>0.5</v>
      </c>
      <c r="U7" s="249">
        <v>0</v>
      </c>
    </row>
    <row r="8" spans="1:40" ht="15.6">
      <c r="B8" s="260" t="s">
        <v>11</v>
      </c>
      <c r="C8" s="260" t="s">
        <v>242</v>
      </c>
      <c r="D8" s="260" t="s">
        <v>243</v>
      </c>
      <c r="E8" s="261" t="s">
        <v>244</v>
      </c>
      <c r="F8" s="261" t="s">
        <v>245</v>
      </c>
      <c r="G8" s="261" t="s">
        <v>246</v>
      </c>
      <c r="R8" s="258">
        <f>R7+C10</f>
        <v>0.65169999999999995</v>
      </c>
      <c r="S8" s="250">
        <f>B11</f>
        <v>2</v>
      </c>
      <c r="T8" s="250">
        <f t="shared" ref="T8:T11" si="0">T7+1</f>
        <v>1.5</v>
      </c>
      <c r="U8" s="249">
        <v>1</v>
      </c>
    </row>
    <row r="9" spans="1:40">
      <c r="B9" s="252">
        <v>0</v>
      </c>
      <c r="C9" s="258">
        <f>_xlfn.BINOM.DIST(B9,4,$S$13,FALSE)</f>
        <v>0.24009999999999998</v>
      </c>
      <c r="D9" s="262">
        <f>B9*C9</f>
        <v>0</v>
      </c>
      <c r="E9" s="262">
        <f>$C9*($B9-mu)^2</f>
        <v>0.34574399999999977</v>
      </c>
      <c r="F9" s="262">
        <f>$C9*($B9-mu)^3</f>
        <v>-0.41489279999999962</v>
      </c>
      <c r="G9" s="262">
        <f>$C9*($B9-mu)^4</f>
        <v>0.49787135999999949</v>
      </c>
      <c r="J9" s="250">
        <f>(B9-mu)^2</f>
        <v>1.4399999999999993</v>
      </c>
      <c r="K9" s="250">
        <f>C9*J9</f>
        <v>0.34574399999999977</v>
      </c>
      <c r="R9" s="258">
        <f>R8+C11</f>
        <v>0.91629999999999989</v>
      </c>
      <c r="S9" s="250">
        <f>B12</f>
        <v>3</v>
      </c>
      <c r="T9" s="250">
        <f t="shared" si="0"/>
        <v>2.5</v>
      </c>
      <c r="U9" s="249">
        <v>0</v>
      </c>
    </row>
    <row r="10" spans="1:40">
      <c r="B10" s="252">
        <v>1</v>
      </c>
      <c r="C10" s="258">
        <f>_xlfn.BINOM.DIST(B10,4,$S$13,FALSE)</f>
        <v>0.41159999999999991</v>
      </c>
      <c r="D10" s="262">
        <f>B10*C10</f>
        <v>0.41159999999999991</v>
      </c>
      <c r="E10" s="262">
        <f>$C10*($B10-mu)^2</f>
        <v>1.6463999999999954E-2</v>
      </c>
      <c r="F10" s="262">
        <f>$C10*($B10-mu)^3</f>
        <v>-3.2927999999999864E-3</v>
      </c>
      <c r="G10" s="262">
        <f>$C10*($B10-mu)^4</f>
        <v>6.5855999999999651E-4</v>
      </c>
      <c r="J10" s="250">
        <f>(B10-mu)^2</f>
        <v>3.9999999999999897E-2</v>
      </c>
      <c r="K10" s="250">
        <f t="shared" ref="K10:K13" si="1">C10*J10</f>
        <v>1.6463999999999954E-2</v>
      </c>
      <c r="R10" s="258">
        <f>R9+C12</f>
        <v>0.99189999999999989</v>
      </c>
      <c r="S10" s="250">
        <f>B13</f>
        <v>4</v>
      </c>
      <c r="T10" s="250">
        <f t="shared" si="0"/>
        <v>3.5</v>
      </c>
      <c r="U10" s="249">
        <v>0</v>
      </c>
    </row>
    <row r="11" spans="1:40">
      <c r="B11" s="252">
        <v>2</v>
      </c>
      <c r="C11" s="258">
        <f>_xlfn.BINOM.DIST(B11,4,$S$13,FALSE)</f>
        <v>0.2646</v>
      </c>
      <c r="D11" s="262">
        <f>B11*C11</f>
        <v>0.5292</v>
      </c>
      <c r="E11" s="262">
        <f>$C11*($B11-mu)^2</f>
        <v>0.16934400000000013</v>
      </c>
      <c r="F11" s="262">
        <f>$C11*($B11-mu)^3</f>
        <v>0.13547520000000016</v>
      </c>
      <c r="G11" s="262">
        <f>$C11*($B11-mu)^4</f>
        <v>0.10838016000000016</v>
      </c>
      <c r="J11" s="250">
        <f>(B11-mu)^2</f>
        <v>0.64000000000000046</v>
      </c>
      <c r="K11" s="250">
        <f t="shared" si="1"/>
        <v>0.16934400000000013</v>
      </c>
      <c r="R11" s="258">
        <f>R10+C13</f>
        <v>0.99999999999999989</v>
      </c>
      <c r="S11" s="249"/>
      <c r="T11" s="250">
        <f t="shared" si="0"/>
        <v>4.5</v>
      </c>
      <c r="U11" s="249">
        <v>0</v>
      </c>
    </row>
    <row r="12" spans="1:40">
      <c r="B12" s="252">
        <v>3</v>
      </c>
      <c r="C12" s="258">
        <f>_xlfn.BINOM.DIST(B12,4,$S$13,FALSE)</f>
        <v>7.5599999999999987E-2</v>
      </c>
      <c r="D12" s="262">
        <f>B12*C12</f>
        <v>0.22679999999999995</v>
      </c>
      <c r="E12" s="262">
        <f>$C12*($B12-mu)^2</f>
        <v>0.24494400000000005</v>
      </c>
      <c r="F12" s="262">
        <f>$C12*($B12-mu)^3</f>
        <v>0.4408992000000001</v>
      </c>
      <c r="G12" s="262">
        <f>$C12*($B12-mu)^4</f>
        <v>0.79361856000000042</v>
      </c>
      <c r="J12" s="250">
        <f>(B12-mu)^2</f>
        <v>3.2400000000000011</v>
      </c>
      <c r="K12" s="250">
        <f t="shared" si="1"/>
        <v>0.24494400000000005</v>
      </c>
      <c r="V12" s="263"/>
      <c r="AN12" s="264"/>
    </row>
    <row r="13" spans="1:40">
      <c r="B13" s="252">
        <v>4</v>
      </c>
      <c r="C13" s="258">
        <f>_xlfn.BINOM.DIST(B13,4,$S$13,FALSE)</f>
        <v>8.0999999999999961E-3</v>
      </c>
      <c r="D13" s="262">
        <f>B13*C13</f>
        <v>3.2399999999999984E-2</v>
      </c>
      <c r="E13" s="262">
        <f>$C13*($B13-mu)^2</f>
        <v>6.3503999999999977E-2</v>
      </c>
      <c r="F13" s="265">
        <f>$C13*($B13-mu)^3</f>
        <v>0.17781119999999995</v>
      </c>
      <c r="G13" s="265">
        <f>$C13*($B13-mu)^4</f>
        <v>0.49787135999999993</v>
      </c>
      <c r="J13" s="250">
        <f>(B13-mu)^2</f>
        <v>7.8400000000000016</v>
      </c>
      <c r="K13" s="250">
        <f t="shared" si="1"/>
        <v>6.3503999999999977E-2</v>
      </c>
      <c r="R13" s="250" t="s">
        <v>247</v>
      </c>
      <c r="S13" s="266">
        <f>B6</f>
        <v>0.3</v>
      </c>
      <c r="V13" s="263"/>
    </row>
    <row r="14" spans="1:40">
      <c r="B14" s="267" t="s">
        <v>87</v>
      </c>
      <c r="C14" s="268">
        <f>SUM(C9:C13)</f>
        <v>0.99999999999999989</v>
      </c>
      <c r="D14" s="269">
        <f>SUM(D9:D13)</f>
        <v>1.1999999999999997</v>
      </c>
      <c r="E14" s="270">
        <f>SUM(E9:E13)</f>
        <v>0.84</v>
      </c>
      <c r="F14" s="270">
        <f>SUM(F9:F13)</f>
        <v>0.33600000000000058</v>
      </c>
      <c r="G14" s="270">
        <f>SUM(G9:G13)</f>
        <v>1.8984000000000001</v>
      </c>
      <c r="I14" s="252"/>
      <c r="J14" s="252"/>
      <c r="K14" s="271">
        <f>SUM(K9:K13)</f>
        <v>0.84</v>
      </c>
      <c r="L14" s="272"/>
      <c r="M14" s="272"/>
      <c r="S14" s="250">
        <f>(1-2*S13)/SQRT(4*S13*(1-S13))</f>
        <v>0.43643578047198478</v>
      </c>
    </row>
    <row r="15" spans="1:40">
      <c r="C15" s="250"/>
      <c r="D15" s="250"/>
      <c r="E15" s="273">
        <f>E14</f>
        <v>0.84</v>
      </c>
      <c r="F15" s="273">
        <f>F14/K15^3</f>
        <v>0.43643578047198556</v>
      </c>
      <c r="G15" s="273">
        <f>G14/E15^2</f>
        <v>2.6904761904761911</v>
      </c>
      <c r="I15" s="252"/>
      <c r="J15" s="274"/>
      <c r="K15" s="275">
        <f>SQRT(K14)</f>
        <v>0.91651513899116799</v>
      </c>
      <c r="L15" s="274"/>
      <c r="M15" s="274"/>
    </row>
    <row r="16" spans="1:40" ht="14.4">
      <c r="E16" s="276" t="s">
        <v>248</v>
      </c>
      <c r="F16" s="276" t="s">
        <v>248</v>
      </c>
      <c r="G16" s="276" t="s">
        <v>248</v>
      </c>
      <c r="I16" s="252"/>
      <c r="J16" s="274"/>
      <c r="K16" s="277"/>
      <c r="L16" s="274"/>
      <c r="M16" s="274"/>
      <c r="S16" s="250">
        <f>40%*4</f>
        <v>1.6</v>
      </c>
    </row>
    <row r="17" spans="5:7">
      <c r="E17" s="254" t="s">
        <v>249</v>
      </c>
      <c r="F17" s="254" t="s">
        <v>250</v>
      </c>
      <c r="G17" s="254" t="s">
        <v>251</v>
      </c>
    </row>
    <row r="26" spans="5:7">
      <c r="F26" s="249">
        <f>(0 - 1.2)^2 * 24% + (1 - 1.2)^2 * 41.2% + (2 - 1.2)^2 * 26.5% + (3 - 1.2)^2 * 7.6% + (4 - 1.2)^2 * 0.8%</f>
        <v>0.84063999999999994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4328-0EEB-4670-8E10-AB8DD0C75BB2}">
  <sheetPr codeName="Sheet23"/>
  <dimension ref="A1:AN26"/>
  <sheetViews>
    <sheetView showGridLines="0" workbookViewId="0">
      <selection activeCell="O34" sqref="O34"/>
    </sheetView>
  </sheetViews>
  <sheetFormatPr defaultColWidth="9.109375" defaultRowHeight="13.8"/>
  <cols>
    <col min="1" max="1" width="9.109375" style="249"/>
    <col min="2" max="2" width="6.88671875" style="249" customWidth="1"/>
    <col min="3" max="3" width="8.88671875" style="249" customWidth="1"/>
    <col min="4" max="5" width="9.109375" style="249"/>
    <col min="6" max="7" width="10.6640625" style="249" customWidth="1"/>
    <col min="8" max="8" width="9.109375" style="249"/>
    <col min="9" max="9" width="6.44140625" style="249" customWidth="1"/>
    <col min="10" max="10" width="9.109375" style="250"/>
    <col min="11" max="11" width="7.5546875" style="250" customWidth="1"/>
    <col min="12" max="13" width="10.6640625" style="250" customWidth="1"/>
    <col min="14" max="14" width="12.88671875" style="250" customWidth="1"/>
    <col min="15" max="16" width="11.6640625" style="250" customWidth="1"/>
    <col min="17" max="21" width="10.6640625" style="250" customWidth="1"/>
    <col min="22" max="16384" width="9.109375" style="249"/>
  </cols>
  <sheetData>
    <row r="1" spans="1:40" s="248" customFormat="1" ht="14.4">
      <c r="A1" s="244"/>
      <c r="B1" s="245" t="s">
        <v>234</v>
      </c>
      <c r="C1" s="246"/>
      <c r="D1" s="246"/>
      <c r="E1" s="246"/>
      <c r="F1" s="246"/>
      <c r="G1" s="246"/>
      <c r="H1" s="247"/>
    </row>
    <row r="3" spans="1:40">
      <c r="R3" s="251" t="s">
        <v>235</v>
      </c>
      <c r="S3" s="251" t="s">
        <v>11</v>
      </c>
      <c r="T3" s="252" t="s">
        <v>236</v>
      </c>
      <c r="U3" s="249"/>
    </row>
    <row r="4" spans="1:40">
      <c r="B4" s="253" t="s">
        <v>237</v>
      </c>
      <c r="R4" s="254"/>
      <c r="S4" s="254"/>
      <c r="T4" s="252"/>
      <c r="U4" s="249"/>
    </row>
    <row r="5" spans="1:40">
      <c r="B5" s="255">
        <v>4</v>
      </c>
      <c r="C5" s="256"/>
      <c r="R5" s="254"/>
      <c r="S5" s="254"/>
      <c r="T5" s="252"/>
      <c r="U5" s="249"/>
    </row>
    <row r="6" spans="1:40">
      <c r="B6" s="604">
        <v>0.3</v>
      </c>
      <c r="C6" s="604"/>
      <c r="D6" s="252"/>
      <c r="E6" s="257" t="s">
        <v>238</v>
      </c>
      <c r="F6" s="257"/>
      <c r="G6" s="257"/>
      <c r="R6" s="258">
        <v>0</v>
      </c>
      <c r="S6" s="250">
        <f>B9</f>
        <v>0</v>
      </c>
      <c r="T6" s="250">
        <f>S6-0.5</f>
        <v>-0.5</v>
      </c>
      <c r="U6" s="249">
        <f t="array" ref="U6:U11">FREQUENCY($K$15:$K$16,$T$6:$T$11)</f>
        <v>0</v>
      </c>
    </row>
    <row r="7" spans="1:40">
      <c r="B7" s="259"/>
      <c r="C7" s="252"/>
      <c r="D7" s="252"/>
      <c r="E7" s="257" t="s">
        <v>239</v>
      </c>
      <c r="F7" s="257" t="s">
        <v>240</v>
      </c>
      <c r="G7" s="257" t="s">
        <v>241</v>
      </c>
      <c r="R7" s="258">
        <f>C9</f>
        <v>0.24009999999999998</v>
      </c>
      <c r="S7" s="250">
        <f>B10</f>
        <v>1</v>
      </c>
      <c r="T7" s="250">
        <f>T6+1</f>
        <v>0.5</v>
      </c>
      <c r="U7" s="249">
        <v>0</v>
      </c>
    </row>
    <row r="8" spans="1:40" ht="15.6">
      <c r="B8" s="260" t="s">
        <v>11</v>
      </c>
      <c r="C8" s="260" t="s">
        <v>242</v>
      </c>
      <c r="D8" s="260" t="s">
        <v>243</v>
      </c>
      <c r="E8" s="261" t="s">
        <v>244</v>
      </c>
      <c r="F8" s="261" t="s">
        <v>245</v>
      </c>
      <c r="G8" s="261" t="s">
        <v>246</v>
      </c>
      <c r="R8" s="258">
        <f>R7+C10</f>
        <v>0.65169999999999995</v>
      </c>
      <c r="S8" s="250">
        <f>B11</f>
        <v>2</v>
      </c>
      <c r="T8" s="250">
        <f t="shared" ref="T8:T11" si="0">T7+1</f>
        <v>1.5</v>
      </c>
      <c r="U8" s="249">
        <v>1</v>
      </c>
    </row>
    <row r="9" spans="1:40">
      <c r="B9" s="252">
        <v>0</v>
      </c>
      <c r="C9" s="258">
        <f>_xlfn.BINOM.DIST(B9,4,$S$13,FALSE)</f>
        <v>0.24009999999999998</v>
      </c>
      <c r="D9" s="262">
        <f>B9*C9</f>
        <v>0</v>
      </c>
      <c r="E9" s="262">
        <f>$C9*($B9-mu)^2</f>
        <v>0.34574399999999977</v>
      </c>
      <c r="F9" s="262">
        <f>$C9*($B9-mu)^3</f>
        <v>-0.41489279999999962</v>
      </c>
      <c r="G9" s="262">
        <f>$C9*($B9-mu)^4</f>
        <v>0.49787135999999949</v>
      </c>
      <c r="J9" s="250">
        <f>(B9-mu)^2</f>
        <v>1.4399999999999993</v>
      </c>
      <c r="K9" s="250">
        <f>C9*J9</f>
        <v>0.34574399999999977</v>
      </c>
      <c r="R9" s="258">
        <f>R8+C11</f>
        <v>0.91629999999999989</v>
      </c>
      <c r="S9" s="250">
        <f>B12</f>
        <v>3</v>
      </c>
      <c r="T9" s="250">
        <f t="shared" si="0"/>
        <v>2.5</v>
      </c>
      <c r="U9" s="249">
        <v>0</v>
      </c>
    </row>
    <row r="10" spans="1:40">
      <c r="B10" s="252">
        <v>1</v>
      </c>
      <c r="C10" s="258">
        <f>_xlfn.BINOM.DIST(B10,4,$S$13,FALSE)</f>
        <v>0.41159999999999991</v>
      </c>
      <c r="D10" s="262">
        <f>B10*C10</f>
        <v>0.41159999999999991</v>
      </c>
      <c r="E10" s="262">
        <f>$C10*($B10-mu)^2</f>
        <v>1.6463999999999954E-2</v>
      </c>
      <c r="F10" s="262">
        <f>$C10*($B10-mu)^3</f>
        <v>-3.2927999999999864E-3</v>
      </c>
      <c r="G10" s="262">
        <f>$C10*($B10-mu)^4</f>
        <v>6.5855999999999651E-4</v>
      </c>
      <c r="J10" s="250">
        <f>(B10-mu)^2</f>
        <v>3.9999999999999897E-2</v>
      </c>
      <c r="K10" s="250">
        <f t="shared" ref="K10:K13" si="1">C10*J10</f>
        <v>1.6463999999999954E-2</v>
      </c>
      <c r="R10" s="258">
        <f>R9+C12</f>
        <v>0.99189999999999989</v>
      </c>
      <c r="S10" s="250">
        <f>B13</f>
        <v>4</v>
      </c>
      <c r="T10" s="250">
        <f t="shared" si="0"/>
        <v>3.5</v>
      </c>
      <c r="U10" s="249">
        <v>0</v>
      </c>
    </row>
    <row r="11" spans="1:40">
      <c r="B11" s="252">
        <v>2</v>
      </c>
      <c r="C11" s="258">
        <f>_xlfn.BINOM.DIST(B11,4,$S$13,FALSE)</f>
        <v>0.2646</v>
      </c>
      <c r="D11" s="262">
        <f>B11*C11</f>
        <v>0.5292</v>
      </c>
      <c r="E11" s="262">
        <f>$C11*($B11-mu)^2</f>
        <v>0.16934400000000013</v>
      </c>
      <c r="F11" s="262">
        <f>$C11*($B11-mu)^3</f>
        <v>0.13547520000000016</v>
      </c>
      <c r="G11" s="262">
        <f>$C11*($B11-mu)^4</f>
        <v>0.10838016000000016</v>
      </c>
      <c r="J11" s="250">
        <f>(B11-mu)^2</f>
        <v>0.64000000000000046</v>
      </c>
      <c r="K11" s="250">
        <f t="shared" si="1"/>
        <v>0.16934400000000013</v>
      </c>
      <c r="R11" s="258">
        <f>R10+C13</f>
        <v>0.99999999999999989</v>
      </c>
      <c r="S11" s="249"/>
      <c r="T11" s="250">
        <f t="shared" si="0"/>
        <v>4.5</v>
      </c>
      <c r="U11" s="249">
        <v>0</v>
      </c>
    </row>
    <row r="12" spans="1:40">
      <c r="B12" s="252">
        <v>3</v>
      </c>
      <c r="C12" s="258">
        <f>_xlfn.BINOM.DIST(B12,4,$S$13,FALSE)</f>
        <v>7.5599999999999987E-2</v>
      </c>
      <c r="D12" s="262">
        <f>B12*C12</f>
        <v>0.22679999999999995</v>
      </c>
      <c r="E12" s="262">
        <f>$C12*($B12-mu)^2</f>
        <v>0.24494400000000005</v>
      </c>
      <c r="F12" s="262">
        <f>$C12*($B12-mu)^3</f>
        <v>0.4408992000000001</v>
      </c>
      <c r="G12" s="262">
        <f>$C12*($B12-mu)^4</f>
        <v>0.79361856000000042</v>
      </c>
      <c r="J12" s="250">
        <f>(B12-mu)^2</f>
        <v>3.2400000000000011</v>
      </c>
      <c r="K12" s="250">
        <f t="shared" si="1"/>
        <v>0.24494400000000005</v>
      </c>
      <c r="V12" s="263"/>
      <c r="AN12" s="264"/>
    </row>
    <row r="13" spans="1:40">
      <c r="B13" s="252">
        <v>4</v>
      </c>
      <c r="C13" s="258">
        <f>_xlfn.BINOM.DIST(B13,4,$S$13,FALSE)</f>
        <v>8.0999999999999961E-3</v>
      </c>
      <c r="D13" s="262">
        <f>B13*C13</f>
        <v>3.2399999999999984E-2</v>
      </c>
      <c r="E13" s="262">
        <f>$C13*($B13-mu)^2</f>
        <v>6.3503999999999977E-2</v>
      </c>
      <c r="F13" s="265">
        <f>$C13*($B13-mu)^3</f>
        <v>0.17781119999999995</v>
      </c>
      <c r="G13" s="265">
        <f>$C13*($B13-mu)^4</f>
        <v>0.49787135999999993</v>
      </c>
      <c r="J13" s="250">
        <f>(B13-mu)^2</f>
        <v>7.8400000000000016</v>
      </c>
      <c r="K13" s="250">
        <f t="shared" si="1"/>
        <v>6.3503999999999977E-2</v>
      </c>
      <c r="R13" s="250" t="s">
        <v>247</v>
      </c>
      <c r="S13" s="266">
        <f>B6</f>
        <v>0.3</v>
      </c>
      <c r="V13" s="263"/>
    </row>
    <row r="14" spans="1:40">
      <c r="B14" s="267" t="s">
        <v>87</v>
      </c>
      <c r="C14" s="268">
        <f>SUM(C9:C13)</f>
        <v>0.99999999999999989</v>
      </c>
      <c r="D14" s="269">
        <f>SUM(D9:D13)</f>
        <v>1.1999999999999997</v>
      </c>
      <c r="E14" s="270">
        <f>SUM(E9:E13)</f>
        <v>0.84</v>
      </c>
      <c r="F14" s="270">
        <f>SUM(F9:F13)</f>
        <v>0.33600000000000058</v>
      </c>
      <c r="G14" s="270">
        <f>SUM(G9:G13)</f>
        <v>1.8984000000000001</v>
      </c>
      <c r="I14" s="252"/>
      <c r="J14" s="252"/>
      <c r="K14" s="271">
        <f>SUM(K9:K13)</f>
        <v>0.84</v>
      </c>
      <c r="L14" s="272"/>
      <c r="M14" s="272"/>
      <c r="S14" s="250">
        <f>(1-2*S13)/SQRT(4*S13*(1-S13))</f>
        <v>0.43643578047198478</v>
      </c>
    </row>
    <row r="15" spans="1:40">
      <c r="C15" s="250"/>
      <c r="D15" s="250"/>
      <c r="E15" s="273">
        <f>E14</f>
        <v>0.84</v>
      </c>
      <c r="F15" s="273">
        <f>F14/K15^3</f>
        <v>0.43643578047198556</v>
      </c>
      <c r="G15" s="273">
        <f>G14/E15^2</f>
        <v>2.6904761904761911</v>
      </c>
      <c r="I15" s="252"/>
      <c r="J15" s="274"/>
      <c r="K15" s="275">
        <f>SQRT(K14)</f>
        <v>0.91651513899116799</v>
      </c>
      <c r="L15" s="274"/>
      <c r="M15" s="274"/>
    </row>
    <row r="16" spans="1:40" ht="14.4">
      <c r="E16" s="276" t="s">
        <v>248</v>
      </c>
      <c r="F16" s="276" t="s">
        <v>248</v>
      </c>
      <c r="G16" s="276" t="s">
        <v>248</v>
      </c>
      <c r="I16" s="252"/>
      <c r="J16" s="274"/>
      <c r="K16" s="277"/>
      <c r="L16" s="274"/>
      <c r="M16" s="274"/>
      <c r="S16" s="250">
        <f>40%*4</f>
        <v>1.6</v>
      </c>
    </row>
    <row r="17" spans="5:7">
      <c r="E17" s="254" t="s">
        <v>249</v>
      </c>
      <c r="F17" s="254" t="s">
        <v>250</v>
      </c>
      <c r="G17" s="254" t="s">
        <v>251</v>
      </c>
    </row>
    <row r="26" spans="5:7">
      <c r="F26" s="249">
        <f>(0 - 1.2)^2 * 24% + (1 - 1.2)^2 * 41.2% + (2 - 1.2)^2 * 26.5% + (3 - 1.2)^2 * 7.6% + (4 - 1.2)^2 * 0.8%</f>
        <v>0.84063999999999994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D2D6-644C-492C-A918-C8D46D1E2A30}">
  <sheetPr codeName="Sheet24"/>
  <dimension ref="A1:AN26"/>
  <sheetViews>
    <sheetView showGridLines="0" workbookViewId="0">
      <selection sqref="A1:XFD1048576"/>
    </sheetView>
  </sheetViews>
  <sheetFormatPr defaultColWidth="9.109375" defaultRowHeight="13.8"/>
  <cols>
    <col min="1" max="1" width="9.109375" style="249"/>
    <col min="2" max="2" width="6.88671875" style="249" customWidth="1"/>
    <col min="3" max="3" width="8.88671875" style="249" customWidth="1"/>
    <col min="4" max="5" width="9.109375" style="249"/>
    <col min="6" max="7" width="10.6640625" style="249" customWidth="1"/>
    <col min="8" max="8" width="9.109375" style="249"/>
    <col min="9" max="9" width="6.44140625" style="249" customWidth="1"/>
    <col min="10" max="10" width="9.109375" style="250"/>
    <col min="11" max="11" width="7.5546875" style="250" customWidth="1"/>
    <col min="12" max="13" width="10.6640625" style="250" customWidth="1"/>
    <col min="14" max="14" width="12.88671875" style="250" customWidth="1"/>
    <col min="15" max="16" width="11.6640625" style="250" customWidth="1"/>
    <col min="17" max="21" width="10.6640625" style="250" customWidth="1"/>
    <col min="22" max="16384" width="9.109375" style="249"/>
  </cols>
  <sheetData>
    <row r="1" spans="1:40" s="248" customFormat="1" ht="14.4">
      <c r="A1" s="244"/>
      <c r="B1" s="245" t="s">
        <v>234</v>
      </c>
      <c r="C1" s="246"/>
      <c r="D1" s="246"/>
      <c r="E1" s="246"/>
      <c r="F1" s="246"/>
      <c r="G1" s="246"/>
      <c r="H1" s="247"/>
    </row>
    <row r="3" spans="1:40">
      <c r="R3" s="251" t="s">
        <v>235</v>
      </c>
      <c r="S3" s="251" t="s">
        <v>11</v>
      </c>
      <c r="T3" s="252" t="s">
        <v>236</v>
      </c>
      <c r="U3" s="249"/>
    </row>
    <row r="4" spans="1:40">
      <c r="B4" s="253" t="s">
        <v>237</v>
      </c>
      <c r="R4" s="254"/>
      <c r="S4" s="254"/>
      <c r="T4" s="252"/>
      <c r="U4" s="249"/>
    </row>
    <row r="5" spans="1:40">
      <c r="B5" s="255">
        <v>4</v>
      </c>
      <c r="C5" s="256"/>
      <c r="R5" s="254"/>
      <c r="S5" s="254"/>
      <c r="T5" s="252"/>
      <c r="U5" s="249"/>
    </row>
    <row r="6" spans="1:40">
      <c r="B6" s="604">
        <v>0.3</v>
      </c>
      <c r="C6" s="604"/>
      <c r="D6" s="252"/>
      <c r="E6" s="257" t="s">
        <v>238</v>
      </c>
      <c r="F6" s="257"/>
      <c r="G6" s="257"/>
      <c r="R6" s="258">
        <v>0</v>
      </c>
      <c r="S6" s="250">
        <f>B9</f>
        <v>0</v>
      </c>
      <c r="T6" s="250">
        <f>S6-0.5</f>
        <v>-0.5</v>
      </c>
      <c r="U6" s="249">
        <f t="array" ref="U6:U11">FREQUENCY($K$15:$K$16,$T$6:$T$11)</f>
        <v>0</v>
      </c>
    </row>
    <row r="7" spans="1:40">
      <c r="B7" s="259"/>
      <c r="C7" s="252"/>
      <c r="D7" s="252"/>
      <c r="E7" s="257" t="s">
        <v>239</v>
      </c>
      <c r="F7" s="257" t="s">
        <v>240</v>
      </c>
      <c r="G7" s="257" t="s">
        <v>241</v>
      </c>
      <c r="R7" s="258">
        <f>C9</f>
        <v>0.24009999999999998</v>
      </c>
      <c r="S7" s="250">
        <f>B10</f>
        <v>1</v>
      </c>
      <c r="T7" s="250">
        <f>T6+1</f>
        <v>0.5</v>
      </c>
      <c r="U7" s="249">
        <v>0</v>
      </c>
    </row>
    <row r="8" spans="1:40" ht="15.6">
      <c r="B8" s="260" t="s">
        <v>11</v>
      </c>
      <c r="C8" s="260" t="s">
        <v>242</v>
      </c>
      <c r="D8" s="260" t="s">
        <v>243</v>
      </c>
      <c r="E8" s="261" t="s">
        <v>244</v>
      </c>
      <c r="F8" s="261" t="s">
        <v>245</v>
      </c>
      <c r="G8" s="261" t="s">
        <v>246</v>
      </c>
      <c r="R8" s="258">
        <f>R7+C10</f>
        <v>0.65169999999999995</v>
      </c>
      <c r="S8" s="250">
        <f>B11</f>
        <v>2</v>
      </c>
      <c r="T8" s="250">
        <f t="shared" ref="T8:T11" si="0">T7+1</f>
        <v>1.5</v>
      </c>
      <c r="U8" s="249">
        <v>1</v>
      </c>
    </row>
    <row r="9" spans="1:40">
      <c r="B9" s="252">
        <v>0</v>
      </c>
      <c r="C9" s="258">
        <f>_xlfn.BINOM.DIST(B9,4,$S$13,FALSE)</f>
        <v>0.24009999999999998</v>
      </c>
      <c r="D9" s="262">
        <f>B9*C9</f>
        <v>0</v>
      </c>
      <c r="E9" s="262">
        <f>$C9*($B9-mu)^2</f>
        <v>0.34574399999999977</v>
      </c>
      <c r="F9" s="262">
        <f>$C9*($B9-mu)^3</f>
        <v>-0.41489279999999962</v>
      </c>
      <c r="G9" s="262">
        <f>$C9*($B9-mu)^4</f>
        <v>0.49787135999999949</v>
      </c>
      <c r="J9" s="250">
        <f>(B9-mu)^2</f>
        <v>1.4399999999999993</v>
      </c>
      <c r="K9" s="250">
        <f>C9*J9</f>
        <v>0.34574399999999977</v>
      </c>
      <c r="R9" s="258">
        <f>R8+C11</f>
        <v>0.91629999999999989</v>
      </c>
      <c r="S9" s="250">
        <f>B12</f>
        <v>3</v>
      </c>
      <c r="T9" s="250">
        <f t="shared" si="0"/>
        <v>2.5</v>
      </c>
      <c r="U9" s="249">
        <v>0</v>
      </c>
    </row>
    <row r="10" spans="1:40">
      <c r="B10" s="252">
        <v>1</v>
      </c>
      <c r="C10" s="258">
        <f>_xlfn.BINOM.DIST(B10,4,$S$13,FALSE)</f>
        <v>0.41159999999999991</v>
      </c>
      <c r="D10" s="262">
        <f>B10*C10</f>
        <v>0.41159999999999991</v>
      </c>
      <c r="E10" s="262">
        <f>$C10*($B10-mu)^2</f>
        <v>1.6463999999999954E-2</v>
      </c>
      <c r="F10" s="262">
        <f>$C10*($B10-mu)^3</f>
        <v>-3.2927999999999864E-3</v>
      </c>
      <c r="G10" s="262">
        <f>$C10*($B10-mu)^4</f>
        <v>6.5855999999999651E-4</v>
      </c>
      <c r="J10" s="250">
        <f>(B10-mu)^2</f>
        <v>3.9999999999999897E-2</v>
      </c>
      <c r="K10" s="250">
        <f t="shared" ref="K10:K13" si="1">C10*J10</f>
        <v>1.6463999999999954E-2</v>
      </c>
      <c r="R10" s="258">
        <f>R9+C12</f>
        <v>0.99189999999999989</v>
      </c>
      <c r="S10" s="250">
        <f>B13</f>
        <v>4</v>
      </c>
      <c r="T10" s="250">
        <f t="shared" si="0"/>
        <v>3.5</v>
      </c>
      <c r="U10" s="249">
        <v>0</v>
      </c>
    </row>
    <row r="11" spans="1:40">
      <c r="B11" s="252">
        <v>2</v>
      </c>
      <c r="C11" s="258">
        <f>_xlfn.BINOM.DIST(B11,4,$S$13,FALSE)</f>
        <v>0.2646</v>
      </c>
      <c r="D11" s="262">
        <f>B11*C11</f>
        <v>0.5292</v>
      </c>
      <c r="E11" s="262">
        <f>$C11*($B11-mu)^2</f>
        <v>0.16934400000000013</v>
      </c>
      <c r="F11" s="262">
        <f>$C11*($B11-mu)^3</f>
        <v>0.13547520000000016</v>
      </c>
      <c r="G11" s="262">
        <f>$C11*($B11-mu)^4</f>
        <v>0.10838016000000016</v>
      </c>
      <c r="J11" s="250">
        <f>(B11-mu)^2</f>
        <v>0.64000000000000046</v>
      </c>
      <c r="K11" s="250">
        <f t="shared" si="1"/>
        <v>0.16934400000000013</v>
      </c>
      <c r="R11" s="258">
        <f>R10+C13</f>
        <v>0.99999999999999989</v>
      </c>
      <c r="S11" s="249"/>
      <c r="T11" s="250">
        <f t="shared" si="0"/>
        <v>4.5</v>
      </c>
      <c r="U11" s="249">
        <v>0</v>
      </c>
    </row>
    <row r="12" spans="1:40">
      <c r="B12" s="252">
        <v>3</v>
      </c>
      <c r="C12" s="258">
        <f>_xlfn.BINOM.DIST(B12,4,$S$13,FALSE)</f>
        <v>7.5599999999999987E-2</v>
      </c>
      <c r="D12" s="262">
        <f>B12*C12</f>
        <v>0.22679999999999995</v>
      </c>
      <c r="E12" s="262">
        <f>$C12*($B12-mu)^2</f>
        <v>0.24494400000000005</v>
      </c>
      <c r="F12" s="262">
        <f>$C12*($B12-mu)^3</f>
        <v>0.4408992000000001</v>
      </c>
      <c r="G12" s="262">
        <f>$C12*($B12-mu)^4</f>
        <v>0.79361856000000042</v>
      </c>
      <c r="J12" s="250">
        <f>(B12-mu)^2</f>
        <v>3.2400000000000011</v>
      </c>
      <c r="K12" s="250">
        <f t="shared" si="1"/>
        <v>0.24494400000000005</v>
      </c>
      <c r="V12" s="263"/>
      <c r="AN12" s="264"/>
    </row>
    <row r="13" spans="1:40">
      <c r="B13" s="252">
        <v>4</v>
      </c>
      <c r="C13" s="258">
        <f>_xlfn.BINOM.DIST(B13,4,$S$13,FALSE)</f>
        <v>8.0999999999999961E-3</v>
      </c>
      <c r="D13" s="262">
        <f>B13*C13</f>
        <v>3.2399999999999984E-2</v>
      </c>
      <c r="E13" s="262">
        <f>$C13*($B13-mu)^2</f>
        <v>6.3503999999999977E-2</v>
      </c>
      <c r="F13" s="265">
        <f>$C13*($B13-mu)^3</f>
        <v>0.17781119999999995</v>
      </c>
      <c r="G13" s="265">
        <f>$C13*($B13-mu)^4</f>
        <v>0.49787135999999993</v>
      </c>
      <c r="J13" s="250">
        <f>(B13-mu)^2</f>
        <v>7.8400000000000016</v>
      </c>
      <c r="K13" s="250">
        <f t="shared" si="1"/>
        <v>6.3503999999999977E-2</v>
      </c>
      <c r="R13" s="250" t="s">
        <v>247</v>
      </c>
      <c r="S13" s="266">
        <f>B6</f>
        <v>0.3</v>
      </c>
      <c r="V13" s="263"/>
    </row>
    <row r="14" spans="1:40">
      <c r="B14" s="267" t="s">
        <v>87</v>
      </c>
      <c r="C14" s="268">
        <f>SUM(C9:C13)</f>
        <v>0.99999999999999989</v>
      </c>
      <c r="D14" s="269">
        <f>SUM(D9:D13)</f>
        <v>1.1999999999999997</v>
      </c>
      <c r="E14" s="270">
        <f>SUM(E9:E13)</f>
        <v>0.84</v>
      </c>
      <c r="F14" s="270">
        <f>SUM(F9:F13)</f>
        <v>0.33600000000000058</v>
      </c>
      <c r="G14" s="270">
        <f>SUM(G9:G13)</f>
        <v>1.8984000000000001</v>
      </c>
      <c r="I14" s="252"/>
      <c r="J14" s="252"/>
      <c r="K14" s="271">
        <f>SUM(K9:K13)</f>
        <v>0.84</v>
      </c>
      <c r="L14" s="272"/>
      <c r="M14" s="272"/>
      <c r="S14" s="250">
        <f>(1-2*S13)/SQRT(4*S13*(1-S13))</f>
        <v>0.43643578047198478</v>
      </c>
    </row>
    <row r="15" spans="1:40">
      <c r="C15" s="250"/>
      <c r="D15" s="250"/>
      <c r="E15" s="273">
        <f>E14</f>
        <v>0.84</v>
      </c>
      <c r="F15" s="273">
        <f>F14/K15^3</f>
        <v>0.43643578047198556</v>
      </c>
      <c r="G15" s="273">
        <f>G14/E15^2</f>
        <v>2.6904761904761911</v>
      </c>
      <c r="I15" s="252"/>
      <c r="J15" s="274"/>
      <c r="K15" s="275">
        <f>SQRT(K14)</f>
        <v>0.91651513899116799</v>
      </c>
      <c r="L15" s="274"/>
      <c r="M15" s="274"/>
    </row>
    <row r="16" spans="1:40" ht="14.4">
      <c r="E16" s="276" t="s">
        <v>248</v>
      </c>
      <c r="F16" s="276" t="s">
        <v>248</v>
      </c>
      <c r="G16" s="276" t="s">
        <v>248</v>
      </c>
      <c r="I16" s="252"/>
      <c r="J16" s="274"/>
      <c r="K16" s="277"/>
      <c r="L16" s="274"/>
      <c r="M16" s="274"/>
      <c r="S16" s="250">
        <f>40%*4</f>
        <v>1.6</v>
      </c>
    </row>
    <row r="17" spans="5:7">
      <c r="E17" s="254" t="s">
        <v>249</v>
      </c>
      <c r="F17" s="254" t="s">
        <v>250</v>
      </c>
      <c r="G17" s="254" t="s">
        <v>251</v>
      </c>
    </row>
    <row r="26" spans="5:7">
      <c r="F26" s="249">
        <f>(0 - 1.2)^2 * 24% + (1 - 1.2)^2 * 41.2% + (2 - 1.2)^2 * 26.5% + (3 - 1.2)^2 * 7.6% + (4 - 1.2)^2 * 0.8%</f>
        <v>0.84063999999999994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72FC-6E68-43A6-844F-EF3A8C7BA528}">
  <sheetPr codeName="Sheet25"/>
  <dimension ref="A1:AN26"/>
  <sheetViews>
    <sheetView showGridLines="0" workbookViewId="0">
      <selection activeCell="O36" sqref="O36"/>
    </sheetView>
  </sheetViews>
  <sheetFormatPr defaultColWidth="9.109375" defaultRowHeight="13.8"/>
  <cols>
    <col min="1" max="1" width="9.109375" style="249"/>
    <col min="2" max="2" width="6.88671875" style="249" customWidth="1"/>
    <col min="3" max="3" width="8.88671875" style="249" customWidth="1"/>
    <col min="4" max="5" width="9.109375" style="249"/>
    <col min="6" max="7" width="10.6640625" style="249" customWidth="1"/>
    <col min="8" max="8" width="9.109375" style="249"/>
    <col min="9" max="9" width="6.44140625" style="249" customWidth="1"/>
    <col min="10" max="10" width="9.109375" style="250"/>
    <col min="11" max="11" width="7.5546875" style="250" customWidth="1"/>
    <col min="12" max="13" width="10.6640625" style="250" customWidth="1"/>
    <col min="14" max="14" width="12.88671875" style="250" customWidth="1"/>
    <col min="15" max="16" width="11.6640625" style="250" customWidth="1"/>
    <col min="17" max="21" width="10.6640625" style="250" customWidth="1"/>
    <col min="22" max="16384" width="9.109375" style="249"/>
  </cols>
  <sheetData>
    <row r="1" spans="1:40" s="248" customFormat="1" ht="14.4">
      <c r="A1" s="244"/>
      <c r="B1" s="245" t="s">
        <v>234</v>
      </c>
      <c r="C1" s="246"/>
      <c r="D1" s="246"/>
      <c r="E1" s="246"/>
      <c r="F1" s="246"/>
      <c r="G1" s="246"/>
      <c r="H1" s="247"/>
    </row>
    <row r="3" spans="1:40">
      <c r="R3" s="251" t="s">
        <v>235</v>
      </c>
      <c r="S3" s="251" t="s">
        <v>11</v>
      </c>
      <c r="T3" s="252" t="s">
        <v>236</v>
      </c>
      <c r="U3" s="249"/>
    </row>
    <row r="4" spans="1:40">
      <c r="B4" s="253" t="s">
        <v>237</v>
      </c>
      <c r="R4" s="254"/>
      <c r="S4" s="254"/>
      <c r="T4" s="252"/>
      <c r="U4" s="249"/>
    </row>
    <row r="5" spans="1:40">
      <c r="B5" s="255">
        <v>4</v>
      </c>
      <c r="C5" s="256"/>
      <c r="R5" s="254"/>
      <c r="S5" s="254"/>
      <c r="T5" s="252"/>
      <c r="U5" s="249"/>
    </row>
    <row r="6" spans="1:40">
      <c r="B6" s="604">
        <v>0.3</v>
      </c>
      <c r="C6" s="604"/>
      <c r="D6" s="252"/>
      <c r="E6" s="257" t="s">
        <v>238</v>
      </c>
      <c r="F6" s="257"/>
      <c r="G6" s="257"/>
      <c r="R6" s="258">
        <v>0</v>
      </c>
      <c r="S6" s="250">
        <f>B9</f>
        <v>0</v>
      </c>
      <c r="T6" s="250">
        <f>S6-0.5</f>
        <v>-0.5</v>
      </c>
      <c r="U6" s="249">
        <f t="array" ref="U6:U11">FREQUENCY($K$15:$K$16,$T$6:$T$11)</f>
        <v>0</v>
      </c>
    </row>
    <row r="7" spans="1:40">
      <c r="B7" s="259"/>
      <c r="C7" s="252"/>
      <c r="D7" s="252"/>
      <c r="E7" s="257" t="s">
        <v>239</v>
      </c>
      <c r="F7" s="257" t="s">
        <v>240</v>
      </c>
      <c r="G7" s="257" t="s">
        <v>241</v>
      </c>
      <c r="R7" s="258">
        <f>C9</f>
        <v>0.24009999999999998</v>
      </c>
      <c r="S7" s="250">
        <f>B10</f>
        <v>1</v>
      </c>
      <c r="T7" s="250">
        <f>T6+1</f>
        <v>0.5</v>
      </c>
      <c r="U7" s="249">
        <v>0</v>
      </c>
    </row>
    <row r="8" spans="1:40" ht="15.6">
      <c r="B8" s="260" t="s">
        <v>11</v>
      </c>
      <c r="C8" s="260" t="s">
        <v>242</v>
      </c>
      <c r="D8" s="260" t="s">
        <v>243</v>
      </c>
      <c r="E8" s="261" t="s">
        <v>244</v>
      </c>
      <c r="F8" s="261" t="s">
        <v>245</v>
      </c>
      <c r="G8" s="261" t="s">
        <v>246</v>
      </c>
      <c r="R8" s="258">
        <f>R7+C10</f>
        <v>0.65169999999999995</v>
      </c>
      <c r="S8" s="250">
        <f>B11</f>
        <v>2</v>
      </c>
      <c r="T8" s="250">
        <f t="shared" ref="T8:T11" si="0">T7+1</f>
        <v>1.5</v>
      </c>
      <c r="U8" s="249">
        <v>1</v>
      </c>
    </row>
    <row r="9" spans="1:40">
      <c r="B9" s="252">
        <v>0</v>
      </c>
      <c r="C9" s="258">
        <f>_xlfn.BINOM.DIST(B9,4,$S$13,FALSE)</f>
        <v>0.24009999999999998</v>
      </c>
      <c r="D9" s="262">
        <f>B9*C9</f>
        <v>0</v>
      </c>
      <c r="E9" s="262">
        <f>$C9*($B9-mu)^2</f>
        <v>0.34574399999999977</v>
      </c>
      <c r="F9" s="262">
        <f>$C9*($B9-mu)^3</f>
        <v>-0.41489279999999962</v>
      </c>
      <c r="G9" s="262">
        <f>$C9*($B9-mu)^4</f>
        <v>0.49787135999999949</v>
      </c>
      <c r="J9" s="250">
        <f>(B9-mu)^2</f>
        <v>1.4399999999999993</v>
      </c>
      <c r="K9" s="250">
        <f>C9*J9</f>
        <v>0.34574399999999977</v>
      </c>
      <c r="R9" s="258">
        <f>R8+C11</f>
        <v>0.91629999999999989</v>
      </c>
      <c r="S9" s="250">
        <f>B12</f>
        <v>3</v>
      </c>
      <c r="T9" s="250">
        <f t="shared" si="0"/>
        <v>2.5</v>
      </c>
      <c r="U9" s="249">
        <v>0</v>
      </c>
    </row>
    <row r="10" spans="1:40">
      <c r="B10" s="252">
        <v>1</v>
      </c>
      <c r="C10" s="258">
        <f>_xlfn.BINOM.DIST(B10,4,$S$13,FALSE)</f>
        <v>0.41159999999999991</v>
      </c>
      <c r="D10" s="262">
        <f>B10*C10</f>
        <v>0.41159999999999991</v>
      </c>
      <c r="E10" s="262">
        <f>$C10*($B10-mu)^2</f>
        <v>1.6463999999999954E-2</v>
      </c>
      <c r="F10" s="262">
        <f>$C10*($B10-mu)^3</f>
        <v>-3.2927999999999864E-3</v>
      </c>
      <c r="G10" s="262">
        <f>$C10*($B10-mu)^4</f>
        <v>6.5855999999999651E-4</v>
      </c>
      <c r="J10" s="250">
        <f>(B10-mu)^2</f>
        <v>3.9999999999999897E-2</v>
      </c>
      <c r="K10" s="250">
        <f t="shared" ref="K10:K13" si="1">C10*J10</f>
        <v>1.6463999999999954E-2</v>
      </c>
      <c r="R10" s="258">
        <f>R9+C12</f>
        <v>0.99189999999999989</v>
      </c>
      <c r="S10" s="250">
        <f>B13</f>
        <v>4</v>
      </c>
      <c r="T10" s="250">
        <f t="shared" si="0"/>
        <v>3.5</v>
      </c>
      <c r="U10" s="249">
        <v>0</v>
      </c>
    </row>
    <row r="11" spans="1:40">
      <c r="B11" s="252">
        <v>2</v>
      </c>
      <c r="C11" s="258">
        <f>_xlfn.BINOM.DIST(B11,4,$S$13,FALSE)</f>
        <v>0.2646</v>
      </c>
      <c r="D11" s="262">
        <f>B11*C11</f>
        <v>0.5292</v>
      </c>
      <c r="E11" s="262">
        <f>$C11*($B11-mu)^2</f>
        <v>0.16934400000000013</v>
      </c>
      <c r="F11" s="262">
        <f>$C11*($B11-mu)^3</f>
        <v>0.13547520000000016</v>
      </c>
      <c r="G11" s="262">
        <f>$C11*($B11-mu)^4</f>
        <v>0.10838016000000016</v>
      </c>
      <c r="J11" s="250">
        <f>(B11-mu)^2</f>
        <v>0.64000000000000046</v>
      </c>
      <c r="K11" s="250">
        <f t="shared" si="1"/>
        <v>0.16934400000000013</v>
      </c>
      <c r="R11" s="258">
        <f>R10+C13</f>
        <v>0.99999999999999989</v>
      </c>
      <c r="S11" s="249"/>
      <c r="T11" s="250">
        <f t="shared" si="0"/>
        <v>4.5</v>
      </c>
      <c r="U11" s="249">
        <v>0</v>
      </c>
    </row>
    <row r="12" spans="1:40">
      <c r="B12" s="252">
        <v>3</v>
      </c>
      <c r="C12" s="258">
        <f>_xlfn.BINOM.DIST(B12,4,$S$13,FALSE)</f>
        <v>7.5599999999999987E-2</v>
      </c>
      <c r="D12" s="262">
        <f>B12*C12</f>
        <v>0.22679999999999995</v>
      </c>
      <c r="E12" s="262">
        <f>$C12*($B12-mu)^2</f>
        <v>0.24494400000000005</v>
      </c>
      <c r="F12" s="262">
        <f>$C12*($B12-mu)^3</f>
        <v>0.4408992000000001</v>
      </c>
      <c r="G12" s="262">
        <f>$C12*($B12-mu)^4</f>
        <v>0.79361856000000042</v>
      </c>
      <c r="J12" s="250">
        <f>(B12-mu)^2</f>
        <v>3.2400000000000011</v>
      </c>
      <c r="K12" s="250">
        <f t="shared" si="1"/>
        <v>0.24494400000000005</v>
      </c>
      <c r="V12" s="263"/>
      <c r="AN12" s="264"/>
    </row>
    <row r="13" spans="1:40">
      <c r="B13" s="252">
        <v>4</v>
      </c>
      <c r="C13" s="258">
        <f>_xlfn.BINOM.DIST(B13,4,$S$13,FALSE)</f>
        <v>8.0999999999999961E-3</v>
      </c>
      <c r="D13" s="262">
        <f>B13*C13</f>
        <v>3.2399999999999984E-2</v>
      </c>
      <c r="E13" s="262">
        <f>$C13*($B13-mu)^2</f>
        <v>6.3503999999999977E-2</v>
      </c>
      <c r="F13" s="265">
        <f>$C13*($B13-mu)^3</f>
        <v>0.17781119999999995</v>
      </c>
      <c r="G13" s="265">
        <f>$C13*($B13-mu)^4</f>
        <v>0.49787135999999993</v>
      </c>
      <c r="J13" s="250">
        <f>(B13-mu)^2</f>
        <v>7.8400000000000016</v>
      </c>
      <c r="K13" s="250">
        <f t="shared" si="1"/>
        <v>6.3503999999999977E-2</v>
      </c>
      <c r="R13" s="250" t="s">
        <v>247</v>
      </c>
      <c r="S13" s="266">
        <f>B6</f>
        <v>0.3</v>
      </c>
      <c r="V13" s="263"/>
    </row>
    <row r="14" spans="1:40">
      <c r="B14" s="267" t="s">
        <v>87</v>
      </c>
      <c r="C14" s="268">
        <f>SUM(C9:C13)</f>
        <v>0.99999999999999989</v>
      </c>
      <c r="D14" s="269">
        <f>SUM(D9:D13)</f>
        <v>1.1999999999999997</v>
      </c>
      <c r="E14" s="270">
        <f>SUM(E9:E13)</f>
        <v>0.84</v>
      </c>
      <c r="F14" s="270">
        <f>SUM(F9:F13)</f>
        <v>0.33600000000000058</v>
      </c>
      <c r="G14" s="270">
        <f>SUM(G9:G13)</f>
        <v>1.8984000000000001</v>
      </c>
      <c r="I14" s="252"/>
      <c r="J14" s="252"/>
      <c r="K14" s="271">
        <f>SUM(K9:K13)</f>
        <v>0.84</v>
      </c>
      <c r="L14" s="272"/>
      <c r="M14" s="272"/>
      <c r="S14" s="250">
        <f>(1-2*S13)/SQRT(4*S13*(1-S13))</f>
        <v>0.43643578047198478</v>
      </c>
    </row>
    <row r="15" spans="1:40">
      <c r="C15" s="250"/>
      <c r="D15" s="250"/>
      <c r="E15" s="273">
        <f>E14</f>
        <v>0.84</v>
      </c>
      <c r="F15" s="273">
        <f>F14/K15^3</f>
        <v>0.43643578047198556</v>
      </c>
      <c r="G15" s="273">
        <f>G14/E15^2</f>
        <v>2.6904761904761911</v>
      </c>
      <c r="I15" s="252"/>
      <c r="J15" s="274"/>
      <c r="K15" s="275">
        <f>SQRT(K14)</f>
        <v>0.91651513899116799</v>
      </c>
      <c r="L15" s="274"/>
      <c r="M15" s="274"/>
    </row>
    <row r="16" spans="1:40" ht="14.4">
      <c r="E16" s="276" t="s">
        <v>248</v>
      </c>
      <c r="F16" s="276" t="s">
        <v>248</v>
      </c>
      <c r="G16" s="276" t="s">
        <v>248</v>
      </c>
      <c r="I16" s="252"/>
      <c r="J16" s="274"/>
      <c r="K16" s="277"/>
      <c r="L16" s="274"/>
      <c r="M16" s="274"/>
      <c r="S16" s="250">
        <f>40%*4</f>
        <v>1.6</v>
      </c>
    </row>
    <row r="17" spans="5:7">
      <c r="E17" s="254" t="s">
        <v>249</v>
      </c>
      <c r="F17" s="254" t="s">
        <v>250</v>
      </c>
      <c r="G17" s="254" t="s">
        <v>251</v>
      </c>
    </row>
    <row r="26" spans="5:7">
      <c r="F26" s="249">
        <f>(0 - 1.2)^2 * 24% + (1 - 1.2)^2 * 41.2% + (2 - 1.2)^2 * 26.5% + (3 - 1.2)^2 * 7.6% + (4 - 1.2)^2 * 0.8%</f>
        <v>0.84063999999999994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6120-B023-4059-BEE4-2694A4BA95C5}">
  <sheetPr codeName="Sheet26"/>
  <dimension ref="A1:AN26"/>
  <sheetViews>
    <sheetView showGridLines="0" workbookViewId="0">
      <selection activeCell="N35" sqref="N35"/>
    </sheetView>
  </sheetViews>
  <sheetFormatPr defaultColWidth="9.109375" defaultRowHeight="13.8"/>
  <cols>
    <col min="1" max="1" width="9.109375" style="249"/>
    <col min="2" max="2" width="6.88671875" style="249" customWidth="1"/>
    <col min="3" max="3" width="8.88671875" style="249" customWidth="1"/>
    <col min="4" max="5" width="9.109375" style="249"/>
    <col min="6" max="7" width="10.6640625" style="249" customWidth="1"/>
    <col min="8" max="8" width="9.109375" style="249"/>
    <col min="9" max="9" width="6.44140625" style="249" customWidth="1"/>
    <col min="10" max="10" width="9.109375" style="250"/>
    <col min="11" max="11" width="7.5546875" style="250" customWidth="1"/>
    <col min="12" max="13" width="10.6640625" style="250" customWidth="1"/>
    <col min="14" max="14" width="12.88671875" style="250" customWidth="1"/>
    <col min="15" max="16" width="11.6640625" style="250" customWidth="1"/>
    <col min="17" max="21" width="10.6640625" style="250" customWidth="1"/>
    <col min="22" max="16384" width="9.109375" style="249"/>
  </cols>
  <sheetData>
    <row r="1" spans="1:40" s="248" customFormat="1" ht="14.4">
      <c r="A1" s="244"/>
      <c r="B1" s="245" t="s">
        <v>234</v>
      </c>
      <c r="C1" s="246"/>
      <c r="D1" s="246"/>
      <c r="E1" s="246"/>
      <c r="F1" s="246"/>
      <c r="G1" s="246"/>
      <c r="H1" s="247"/>
    </row>
    <row r="3" spans="1:40">
      <c r="R3" s="251" t="s">
        <v>235</v>
      </c>
      <c r="S3" s="251" t="s">
        <v>11</v>
      </c>
      <c r="T3" s="252" t="s">
        <v>236</v>
      </c>
      <c r="U3" s="249"/>
    </row>
    <row r="4" spans="1:40">
      <c r="B4" s="253" t="s">
        <v>237</v>
      </c>
      <c r="R4" s="254"/>
      <c r="S4" s="254"/>
      <c r="T4" s="252"/>
      <c r="U4" s="249"/>
    </row>
    <row r="5" spans="1:40">
      <c r="B5" s="255">
        <v>4</v>
      </c>
      <c r="C5" s="256"/>
      <c r="R5" s="254"/>
      <c r="S5" s="254"/>
      <c r="T5" s="252"/>
      <c r="U5" s="249"/>
    </row>
    <row r="6" spans="1:40">
      <c r="B6" s="604">
        <v>0.3</v>
      </c>
      <c r="C6" s="604"/>
      <c r="D6" s="252"/>
      <c r="E6" s="257" t="s">
        <v>238</v>
      </c>
      <c r="F6" s="257"/>
      <c r="G6" s="257"/>
      <c r="R6" s="258">
        <v>0</v>
      </c>
      <c r="S6" s="250">
        <f>B9</f>
        <v>0</v>
      </c>
      <c r="T6" s="250">
        <f>S6-0.5</f>
        <v>-0.5</v>
      </c>
      <c r="U6" s="249">
        <f t="array" ref="U6:U11">FREQUENCY($K$15:$K$16,$T$6:$T$11)</f>
        <v>0</v>
      </c>
    </row>
    <row r="7" spans="1:40">
      <c r="B7" s="259"/>
      <c r="C7" s="252"/>
      <c r="D7" s="252"/>
      <c r="E7" s="257" t="s">
        <v>239</v>
      </c>
      <c r="F7" s="257" t="s">
        <v>240</v>
      </c>
      <c r="G7" s="257" t="s">
        <v>241</v>
      </c>
      <c r="R7" s="258">
        <f>C9</f>
        <v>0.24009999999999998</v>
      </c>
      <c r="S7" s="250">
        <f>B10</f>
        <v>1</v>
      </c>
      <c r="T7" s="250">
        <f>T6+1</f>
        <v>0.5</v>
      </c>
      <c r="U7" s="249">
        <v>0</v>
      </c>
    </row>
    <row r="8" spans="1:40" ht="15.6">
      <c r="B8" s="260" t="s">
        <v>11</v>
      </c>
      <c r="C8" s="260" t="s">
        <v>242</v>
      </c>
      <c r="D8" s="260" t="s">
        <v>243</v>
      </c>
      <c r="E8" s="261" t="s">
        <v>244</v>
      </c>
      <c r="F8" s="261" t="s">
        <v>245</v>
      </c>
      <c r="G8" s="261" t="s">
        <v>246</v>
      </c>
      <c r="R8" s="258">
        <f>R7+C10</f>
        <v>0.65169999999999995</v>
      </c>
      <c r="S8" s="250">
        <f>B11</f>
        <v>2</v>
      </c>
      <c r="T8" s="250">
        <f t="shared" ref="T8:T11" si="0">T7+1</f>
        <v>1.5</v>
      </c>
      <c r="U8" s="249">
        <v>1</v>
      </c>
    </row>
    <row r="9" spans="1:40">
      <c r="B9" s="252">
        <v>0</v>
      </c>
      <c r="C9" s="258">
        <f>_xlfn.BINOM.DIST(B9,4,$S$13,FALSE)</f>
        <v>0.24009999999999998</v>
      </c>
      <c r="D9" s="262">
        <f>B9*C9</f>
        <v>0</v>
      </c>
      <c r="E9" s="262">
        <f>$C9*($B9-mu)^2</f>
        <v>0.34574399999999977</v>
      </c>
      <c r="F9" s="262">
        <f>$C9*($B9-mu)^3</f>
        <v>-0.41489279999999962</v>
      </c>
      <c r="G9" s="262">
        <f>$C9*($B9-mu)^4</f>
        <v>0.49787135999999949</v>
      </c>
      <c r="J9" s="250">
        <f>(B9-mu)^2</f>
        <v>1.4399999999999993</v>
      </c>
      <c r="K9" s="250">
        <f>C9*J9</f>
        <v>0.34574399999999977</v>
      </c>
      <c r="R9" s="258">
        <f>R8+C11</f>
        <v>0.91629999999999989</v>
      </c>
      <c r="S9" s="250">
        <f>B12</f>
        <v>3</v>
      </c>
      <c r="T9" s="250">
        <f t="shared" si="0"/>
        <v>2.5</v>
      </c>
      <c r="U9" s="249">
        <v>0</v>
      </c>
    </row>
    <row r="10" spans="1:40">
      <c r="B10" s="252">
        <v>1</v>
      </c>
      <c r="C10" s="258">
        <f>_xlfn.BINOM.DIST(B10,4,$S$13,FALSE)</f>
        <v>0.41159999999999991</v>
      </c>
      <c r="D10" s="262">
        <f>B10*C10</f>
        <v>0.41159999999999991</v>
      </c>
      <c r="E10" s="262">
        <f>$C10*($B10-mu)^2</f>
        <v>1.6463999999999954E-2</v>
      </c>
      <c r="F10" s="262">
        <f>$C10*($B10-mu)^3</f>
        <v>-3.2927999999999864E-3</v>
      </c>
      <c r="G10" s="262">
        <f>$C10*($B10-mu)^4</f>
        <v>6.5855999999999651E-4</v>
      </c>
      <c r="J10" s="250">
        <f>(B10-mu)^2</f>
        <v>3.9999999999999897E-2</v>
      </c>
      <c r="K10" s="250">
        <f t="shared" ref="K10:K13" si="1">C10*J10</f>
        <v>1.6463999999999954E-2</v>
      </c>
      <c r="R10" s="258">
        <f>R9+C12</f>
        <v>0.99189999999999989</v>
      </c>
      <c r="S10" s="250">
        <f>B13</f>
        <v>4</v>
      </c>
      <c r="T10" s="250">
        <f t="shared" si="0"/>
        <v>3.5</v>
      </c>
      <c r="U10" s="249">
        <v>0</v>
      </c>
    </row>
    <row r="11" spans="1:40">
      <c r="B11" s="252">
        <v>2</v>
      </c>
      <c r="C11" s="258">
        <f>_xlfn.BINOM.DIST(B11,4,$S$13,FALSE)</f>
        <v>0.2646</v>
      </c>
      <c r="D11" s="262">
        <f>B11*C11</f>
        <v>0.5292</v>
      </c>
      <c r="E11" s="262">
        <f>$C11*($B11-mu)^2</f>
        <v>0.16934400000000013</v>
      </c>
      <c r="F11" s="262">
        <f>$C11*($B11-mu)^3</f>
        <v>0.13547520000000016</v>
      </c>
      <c r="G11" s="262">
        <f>$C11*($B11-mu)^4</f>
        <v>0.10838016000000016</v>
      </c>
      <c r="J11" s="250">
        <f>(B11-mu)^2</f>
        <v>0.64000000000000046</v>
      </c>
      <c r="K11" s="250">
        <f t="shared" si="1"/>
        <v>0.16934400000000013</v>
      </c>
      <c r="R11" s="258">
        <f>R10+C13</f>
        <v>0.99999999999999989</v>
      </c>
      <c r="S11" s="249"/>
      <c r="T11" s="250">
        <f t="shared" si="0"/>
        <v>4.5</v>
      </c>
      <c r="U11" s="249">
        <v>0</v>
      </c>
    </row>
    <row r="12" spans="1:40">
      <c r="B12" s="252">
        <v>3</v>
      </c>
      <c r="C12" s="258">
        <f>_xlfn.BINOM.DIST(B12,4,$S$13,FALSE)</f>
        <v>7.5599999999999987E-2</v>
      </c>
      <c r="D12" s="262">
        <f>B12*C12</f>
        <v>0.22679999999999995</v>
      </c>
      <c r="E12" s="262">
        <f>$C12*($B12-mu)^2</f>
        <v>0.24494400000000005</v>
      </c>
      <c r="F12" s="262">
        <f>$C12*($B12-mu)^3</f>
        <v>0.4408992000000001</v>
      </c>
      <c r="G12" s="262">
        <f>$C12*($B12-mu)^4</f>
        <v>0.79361856000000042</v>
      </c>
      <c r="J12" s="250">
        <f>(B12-mu)^2</f>
        <v>3.2400000000000011</v>
      </c>
      <c r="K12" s="250">
        <f t="shared" si="1"/>
        <v>0.24494400000000005</v>
      </c>
      <c r="V12" s="263"/>
      <c r="AN12" s="264"/>
    </row>
    <row r="13" spans="1:40">
      <c r="B13" s="252">
        <v>4</v>
      </c>
      <c r="C13" s="258">
        <f>_xlfn.BINOM.DIST(B13,4,$S$13,FALSE)</f>
        <v>8.0999999999999961E-3</v>
      </c>
      <c r="D13" s="262">
        <f>B13*C13</f>
        <v>3.2399999999999984E-2</v>
      </c>
      <c r="E13" s="262">
        <f>$C13*($B13-mu)^2</f>
        <v>6.3503999999999977E-2</v>
      </c>
      <c r="F13" s="265">
        <f>$C13*($B13-mu)^3</f>
        <v>0.17781119999999995</v>
      </c>
      <c r="G13" s="265">
        <f>$C13*($B13-mu)^4</f>
        <v>0.49787135999999993</v>
      </c>
      <c r="J13" s="250">
        <f>(B13-mu)^2</f>
        <v>7.8400000000000016</v>
      </c>
      <c r="K13" s="250">
        <f t="shared" si="1"/>
        <v>6.3503999999999977E-2</v>
      </c>
      <c r="R13" s="250" t="s">
        <v>247</v>
      </c>
      <c r="S13" s="266">
        <f>B6</f>
        <v>0.3</v>
      </c>
      <c r="V13" s="263"/>
    </row>
    <row r="14" spans="1:40">
      <c r="B14" s="267" t="s">
        <v>87</v>
      </c>
      <c r="C14" s="268">
        <f>SUM(C9:C13)</f>
        <v>0.99999999999999989</v>
      </c>
      <c r="D14" s="269">
        <f>SUM(D9:D13)</f>
        <v>1.1999999999999997</v>
      </c>
      <c r="E14" s="270">
        <f>SUM(E9:E13)</f>
        <v>0.84</v>
      </c>
      <c r="F14" s="270">
        <f>SUM(F9:F13)</f>
        <v>0.33600000000000058</v>
      </c>
      <c r="G14" s="270">
        <f>SUM(G9:G13)</f>
        <v>1.8984000000000001</v>
      </c>
      <c r="I14" s="252"/>
      <c r="J14" s="252"/>
      <c r="K14" s="271">
        <f>SUM(K9:K13)</f>
        <v>0.84</v>
      </c>
      <c r="L14" s="272"/>
      <c r="M14" s="272"/>
      <c r="S14" s="250">
        <f>(1-2*S13)/SQRT(4*S13*(1-S13))</f>
        <v>0.43643578047198478</v>
      </c>
    </row>
    <row r="15" spans="1:40">
      <c r="C15" s="250"/>
      <c r="D15" s="250"/>
      <c r="E15" s="273">
        <f>E14</f>
        <v>0.84</v>
      </c>
      <c r="F15" s="273">
        <f>F14/K15^3</f>
        <v>0.43643578047198556</v>
      </c>
      <c r="G15" s="273">
        <f>G14/E15^2</f>
        <v>2.6904761904761911</v>
      </c>
      <c r="I15" s="252"/>
      <c r="J15" s="274"/>
      <c r="K15" s="275">
        <f>SQRT(K14)</f>
        <v>0.91651513899116799</v>
      </c>
      <c r="L15" s="274"/>
      <c r="M15" s="274"/>
    </row>
    <row r="16" spans="1:40" ht="14.4">
      <c r="E16" s="276" t="s">
        <v>248</v>
      </c>
      <c r="F16" s="276" t="s">
        <v>248</v>
      </c>
      <c r="G16" s="276" t="s">
        <v>248</v>
      </c>
      <c r="I16" s="252"/>
      <c r="J16" s="274"/>
      <c r="K16" s="277"/>
      <c r="L16" s="274"/>
      <c r="M16" s="274"/>
      <c r="S16" s="250">
        <f>40%*4</f>
        <v>1.6</v>
      </c>
    </row>
    <row r="17" spans="5:7">
      <c r="E17" s="254" t="s">
        <v>249</v>
      </c>
      <c r="F17" s="254" t="s">
        <v>250</v>
      </c>
      <c r="G17" s="254" t="s">
        <v>251</v>
      </c>
    </row>
    <row r="26" spans="5:7">
      <c r="F26" s="249">
        <f>(0 - 1.2)^2 * 24% + (1 - 1.2)^2 * 41.2% + (2 - 1.2)^2 * 26.5% + (3 - 1.2)^2 * 7.6% + (4 - 1.2)^2 * 0.8%</f>
        <v>0.84063999999999994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6AF3-B5DA-4808-91DE-0862BFB57015}">
  <sheetPr codeName="Sheet27"/>
  <dimension ref="D2:G30"/>
  <sheetViews>
    <sheetView showGridLines="0" topLeftCell="A31" workbookViewId="0">
      <selection activeCell="D13" sqref="D13"/>
    </sheetView>
  </sheetViews>
  <sheetFormatPr defaultColWidth="9.109375" defaultRowHeight="14.4"/>
  <cols>
    <col min="1" max="6" width="9.109375" style="73"/>
    <col min="7" max="7" width="12" style="73" bestFit="1" customWidth="1"/>
    <col min="8" max="16384" width="9.109375" style="73"/>
  </cols>
  <sheetData>
    <row r="2" spans="4:7">
      <c r="D2" s="278"/>
      <c r="E2" s="278"/>
      <c r="F2" s="278"/>
      <c r="G2" s="278"/>
    </row>
    <row r="3" spans="4:7" s="41" customFormat="1">
      <c r="D3" s="279"/>
      <c r="E3" s="280" t="s">
        <v>11</v>
      </c>
      <c r="F3" s="279" t="s">
        <v>252</v>
      </c>
      <c r="G3" s="279" t="s">
        <v>253</v>
      </c>
    </row>
    <row r="4" spans="4:7">
      <c r="D4" s="278"/>
      <c r="E4" s="281">
        <v>-4</v>
      </c>
      <c r="F4" s="310">
        <f>_xlfn.NORM.S.DIST(E4, FALSE)</f>
        <v>1.3383022576488537E-4</v>
      </c>
      <c r="G4" s="310">
        <f>_xlfn.NORM.S.DIST(E4, TRUE)</f>
        <v>3.1671241833119857E-5</v>
      </c>
    </row>
    <row r="5" spans="4:7">
      <c r="D5" s="278"/>
      <c r="E5" s="309">
        <f>E4+0.5</f>
        <v>-3.5</v>
      </c>
      <c r="F5" s="310">
        <f t="shared" ref="F5:F24" si="0">_xlfn.NORM.S.DIST(E5, FALSE)</f>
        <v>8.7268269504576015E-4</v>
      </c>
      <c r="G5" s="310">
        <f t="shared" ref="G5:G24" si="1">_xlfn.NORM.S.DIST(E5, TRUE)</f>
        <v>2.3262907903552504E-4</v>
      </c>
    </row>
    <row r="6" spans="4:7">
      <c r="D6" s="278"/>
      <c r="E6" s="309">
        <f>E5+0.5</f>
        <v>-3</v>
      </c>
      <c r="F6" s="310">
        <f t="shared" si="0"/>
        <v>4.4318484119380075E-3</v>
      </c>
      <c r="G6" s="310">
        <f t="shared" si="1"/>
        <v>1.3498980316300933E-3</v>
      </c>
    </row>
    <row r="7" spans="4:7">
      <c r="D7" s="278"/>
      <c r="E7" s="309">
        <f>E6+0.5</f>
        <v>-2.5</v>
      </c>
      <c r="F7" s="310">
        <f t="shared" si="0"/>
        <v>1.752830049356854E-2</v>
      </c>
      <c r="G7" s="310">
        <f t="shared" si="1"/>
        <v>6.2096653257761331E-3</v>
      </c>
    </row>
    <row r="8" spans="4:7">
      <c r="D8" s="278"/>
      <c r="E8" s="311">
        <v>-2.3260000000000001</v>
      </c>
      <c r="F8" s="310">
        <f t="shared" si="0"/>
        <v>2.6673718259423804E-2</v>
      </c>
      <c r="G8" s="310">
        <f t="shared" si="1"/>
        <v>1.0009275340867664E-2</v>
      </c>
    </row>
    <row r="9" spans="4:7">
      <c r="D9" s="278"/>
      <c r="E9" s="309">
        <f>E7+0.5</f>
        <v>-2</v>
      </c>
      <c r="F9" s="310">
        <f t="shared" si="0"/>
        <v>5.3990966513188063E-2</v>
      </c>
      <c r="G9" s="310">
        <f t="shared" si="1"/>
        <v>2.2750131948179191E-2</v>
      </c>
    </row>
    <row r="10" spans="4:7">
      <c r="D10" s="278"/>
      <c r="E10" s="311">
        <v>-1.645</v>
      </c>
      <c r="F10" s="310">
        <f t="shared" si="0"/>
        <v>0.10311081109198142</v>
      </c>
      <c r="G10" s="310">
        <f t="shared" si="1"/>
        <v>4.9984905539121376E-2</v>
      </c>
    </row>
    <row r="11" spans="4:7">
      <c r="D11" s="278"/>
      <c r="E11" s="309">
        <f>E9+0.5</f>
        <v>-1.5</v>
      </c>
      <c r="F11" s="310">
        <f t="shared" si="0"/>
        <v>0.12951759566589174</v>
      </c>
      <c r="G11" s="310">
        <f t="shared" si="1"/>
        <v>6.6807201268858057E-2</v>
      </c>
    </row>
    <row r="12" spans="4:7">
      <c r="D12" s="278"/>
      <c r="E12" s="309">
        <f t="shared" ref="E12:E17" si="2">E11+0.5</f>
        <v>-1</v>
      </c>
      <c r="F12" s="310">
        <f t="shared" si="0"/>
        <v>0.24197072451914337</v>
      </c>
      <c r="G12" s="310">
        <f t="shared" si="1"/>
        <v>0.15865525393145699</v>
      </c>
    </row>
    <row r="13" spans="4:7">
      <c r="D13" s="278"/>
      <c r="E13" s="309">
        <f t="shared" si="2"/>
        <v>-0.5</v>
      </c>
      <c r="F13" s="310">
        <f t="shared" si="0"/>
        <v>0.35206532676429952</v>
      </c>
      <c r="G13" s="310">
        <f t="shared" si="1"/>
        <v>0.30853753872598688</v>
      </c>
    </row>
    <row r="14" spans="4:7">
      <c r="D14" s="278"/>
      <c r="E14" s="309">
        <f t="shared" si="2"/>
        <v>0</v>
      </c>
      <c r="F14" s="310">
        <f t="shared" si="0"/>
        <v>0.3989422804014327</v>
      </c>
      <c r="G14" s="310">
        <f t="shared" si="1"/>
        <v>0.5</v>
      </c>
    </row>
    <row r="15" spans="4:7">
      <c r="D15" s="278"/>
      <c r="E15" s="309">
        <f t="shared" si="2"/>
        <v>0.5</v>
      </c>
      <c r="F15" s="310">
        <f t="shared" si="0"/>
        <v>0.35206532676429952</v>
      </c>
      <c r="G15" s="310">
        <f t="shared" si="1"/>
        <v>0.69146246127401312</v>
      </c>
    </row>
    <row r="16" spans="4:7">
      <c r="D16" s="278"/>
      <c r="E16" s="309">
        <f t="shared" si="2"/>
        <v>1</v>
      </c>
      <c r="F16" s="310">
        <f t="shared" si="0"/>
        <v>0.24197072451914337</v>
      </c>
      <c r="G16" s="310">
        <f t="shared" si="1"/>
        <v>0.84134474606854304</v>
      </c>
    </row>
    <row r="17" spans="4:7">
      <c r="D17" s="278"/>
      <c r="E17" s="309">
        <f t="shared" si="2"/>
        <v>1.5</v>
      </c>
      <c r="F17" s="310">
        <f t="shared" si="0"/>
        <v>0.12951759566589174</v>
      </c>
      <c r="G17" s="310">
        <f t="shared" si="1"/>
        <v>0.93319279873114191</v>
      </c>
    </row>
    <row r="18" spans="4:7">
      <c r="D18" s="278"/>
      <c r="E18" s="311">
        <v>1.645</v>
      </c>
      <c r="F18" s="310">
        <f t="shared" si="0"/>
        <v>0.10311081109198142</v>
      </c>
      <c r="G18" s="310">
        <f t="shared" si="1"/>
        <v>0.95001509446087862</v>
      </c>
    </row>
    <row r="19" spans="4:7">
      <c r="D19" s="278"/>
      <c r="E19" s="309">
        <f>E17+0.5</f>
        <v>2</v>
      </c>
      <c r="F19" s="310">
        <f t="shared" si="0"/>
        <v>5.3990966513188063E-2</v>
      </c>
      <c r="G19" s="310">
        <f t="shared" si="1"/>
        <v>0.97724986805182079</v>
      </c>
    </row>
    <row r="20" spans="4:7">
      <c r="D20" s="278"/>
      <c r="E20" s="311">
        <v>2.3260000000000001</v>
      </c>
      <c r="F20" s="310">
        <f t="shared" si="0"/>
        <v>2.6673718259423804E-2</v>
      </c>
      <c r="G20" s="310">
        <f t="shared" si="1"/>
        <v>0.98999072465913229</v>
      </c>
    </row>
    <row r="21" spans="4:7">
      <c r="D21" s="278"/>
      <c r="E21" s="309">
        <f>E19+0.5</f>
        <v>2.5</v>
      </c>
      <c r="F21" s="310">
        <f t="shared" si="0"/>
        <v>1.752830049356854E-2</v>
      </c>
      <c r="G21" s="310">
        <f t="shared" si="1"/>
        <v>0.99379033467422384</v>
      </c>
    </row>
    <row r="22" spans="4:7">
      <c r="D22" s="278"/>
      <c r="E22" s="309">
        <f>E21+0.5</f>
        <v>3</v>
      </c>
      <c r="F22" s="310">
        <f t="shared" si="0"/>
        <v>4.4318484119380075E-3</v>
      </c>
      <c r="G22" s="310">
        <f t="shared" si="1"/>
        <v>0.9986501019683699</v>
      </c>
    </row>
    <row r="23" spans="4:7">
      <c r="D23" s="278"/>
      <c r="E23" s="309">
        <f>E22+0.5</f>
        <v>3.5</v>
      </c>
      <c r="F23" s="310">
        <f t="shared" si="0"/>
        <v>8.7268269504576015E-4</v>
      </c>
      <c r="G23" s="310">
        <f t="shared" si="1"/>
        <v>0.99976737092096446</v>
      </c>
    </row>
    <row r="24" spans="4:7">
      <c r="D24" s="278"/>
      <c r="E24" s="309">
        <f>E23+0.5</f>
        <v>4</v>
      </c>
      <c r="F24" s="310">
        <f t="shared" si="0"/>
        <v>1.3383022576488537E-4</v>
      </c>
      <c r="G24" s="310">
        <f t="shared" si="1"/>
        <v>0.99996832875816688</v>
      </c>
    </row>
    <row r="25" spans="4:7">
      <c r="D25" s="278"/>
      <c r="E25" s="281"/>
      <c r="F25" s="282"/>
      <c r="G25" s="282"/>
    </row>
    <row r="26" spans="4:7">
      <c r="D26" s="278"/>
      <c r="E26" s="281"/>
      <c r="F26" s="282"/>
      <c r="G26" s="282"/>
    </row>
    <row r="27" spans="4:7">
      <c r="D27" s="278"/>
      <c r="E27" s="281"/>
      <c r="F27" s="282"/>
      <c r="G27" s="282"/>
    </row>
    <row r="28" spans="4:7">
      <c r="D28" s="278"/>
      <c r="E28" s="281"/>
      <c r="F28" s="282"/>
      <c r="G28" s="282"/>
    </row>
    <row r="29" spans="4:7">
      <c r="D29" s="278"/>
      <c r="E29" s="281"/>
      <c r="F29" s="282"/>
      <c r="G29" s="282"/>
    </row>
    <row r="30" spans="4:7">
      <c r="D30" s="278"/>
      <c r="E30" s="281"/>
      <c r="F30" s="282"/>
      <c r="G30" s="282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4D1A-714C-4CFB-9B35-A51706CDBEDB}">
  <sheetPr codeName="Sheet28"/>
  <dimension ref="A2:S135"/>
  <sheetViews>
    <sheetView showGridLines="0" workbookViewId="0">
      <selection activeCell="L41" sqref="L41"/>
    </sheetView>
  </sheetViews>
  <sheetFormatPr defaultRowHeight="14.4" outlineLevelRow="2"/>
  <cols>
    <col min="1" max="1" width="20.6640625" customWidth="1"/>
    <col min="3" max="5" width="8.6640625" customWidth="1"/>
  </cols>
  <sheetData>
    <row r="2" spans="2:19">
      <c r="G2" s="66" t="s">
        <v>254</v>
      </c>
      <c r="H2" s="283">
        <v>1</v>
      </c>
    </row>
    <row r="3" spans="2:19">
      <c r="G3" s="66" t="s">
        <v>255</v>
      </c>
      <c r="H3" s="283">
        <v>2</v>
      </c>
    </row>
    <row r="4" spans="2:19">
      <c r="G4" s="66" t="s">
        <v>247</v>
      </c>
      <c r="H4" s="284">
        <v>0.6</v>
      </c>
      <c r="I4" s="54"/>
    </row>
    <row r="5" spans="2:19" ht="16.2">
      <c r="G5" s="66" t="s">
        <v>256</v>
      </c>
      <c r="H5" s="284">
        <f>_xlfn.NORM.INV(H4,mu,sigma)</f>
        <v>1.5066942062715996</v>
      </c>
      <c r="I5" s="54" t="str">
        <f>"= NORM.INV("&amp;TEXT(H4,"0.000")&amp;", µ, σ)"</f>
        <v>= NORM.INV(0.600, µ, σ)</v>
      </c>
      <c r="Q5" s="285" t="s">
        <v>257</v>
      </c>
      <c r="R5" s="286">
        <f>mu+H5*sigma</f>
        <v>4.0133884125431987</v>
      </c>
      <c r="S5" s="287" t="s">
        <v>258</v>
      </c>
    </row>
    <row r="6" spans="2:19">
      <c r="G6" s="66"/>
      <c r="H6" s="284">
        <f>_xlfn.NORM.DIST(H5,mu,sigma,TRUE)</f>
        <v>0.6</v>
      </c>
      <c r="I6" s="54" t="str">
        <f>"= NORM.DIST("&amp;TEXT(H5,"0.000")&amp;", µ, σ, TRUE = CDF)"</f>
        <v>= NORM.DIST(1.507, µ, σ, TRUE = CDF)</v>
      </c>
    </row>
    <row r="7" spans="2:19" hidden="1" outlineLevel="1">
      <c r="B7" t="s">
        <v>259</v>
      </c>
      <c r="C7" s="288">
        <v>-4</v>
      </c>
    </row>
    <row r="8" spans="2:19" hidden="1" outlineLevel="1">
      <c r="B8" t="s">
        <v>260</v>
      </c>
      <c r="C8" s="288">
        <v>0.5</v>
      </c>
    </row>
    <row r="9" spans="2:19" hidden="1" outlineLevel="1"/>
    <row r="10" spans="2:19" collapsed="1">
      <c r="C10" s="105" t="s">
        <v>11</v>
      </c>
      <c r="D10" s="105" t="s">
        <v>252</v>
      </c>
      <c r="E10" s="105" t="s">
        <v>253</v>
      </c>
      <c r="G10" s="25"/>
      <c r="H10" s="284"/>
    </row>
    <row r="11" spans="2:19">
      <c r="C11" s="288">
        <f>C7</f>
        <v>-4</v>
      </c>
      <c r="D11" s="313">
        <f t="shared" ref="D11:D27" si="0">_xlfn.NORM.DIST($C11,mu,sigma,FALSE)</f>
        <v>8.7641502467842702E-3</v>
      </c>
      <c r="E11" s="313">
        <f t="shared" ref="E11:E27" si="1">_xlfn.NORM.DIST($C11,mu,sigma,TRUE)</f>
        <v>6.2096653257761331E-3</v>
      </c>
    </row>
    <row r="12" spans="2:19">
      <c r="C12" s="312">
        <f t="shared" ref="C12:C27" si="2">C11+$C$8</f>
        <v>-3.5</v>
      </c>
      <c r="D12" s="313">
        <f t="shared" si="0"/>
        <v>1.5869825917833709E-2</v>
      </c>
      <c r="E12" s="313">
        <f t="shared" si="1"/>
        <v>1.2224472655044696E-2</v>
      </c>
    </row>
    <row r="13" spans="2:19">
      <c r="C13" s="312">
        <f t="shared" si="2"/>
        <v>-3</v>
      </c>
      <c r="D13" s="313">
        <f t="shared" si="0"/>
        <v>2.6995483256594031E-2</v>
      </c>
      <c r="E13" s="313">
        <f t="shared" si="1"/>
        <v>2.2750131948179191E-2</v>
      </c>
    </row>
    <row r="14" spans="2:19">
      <c r="C14" s="312">
        <f t="shared" si="2"/>
        <v>-2.5</v>
      </c>
      <c r="D14" s="313">
        <f t="shared" si="0"/>
        <v>4.3138659413255766E-2</v>
      </c>
      <c r="E14" s="313">
        <f t="shared" si="1"/>
        <v>4.00591568638171E-2</v>
      </c>
    </row>
    <row r="15" spans="2:19">
      <c r="C15" s="312">
        <f t="shared" si="2"/>
        <v>-2</v>
      </c>
      <c r="D15" s="313">
        <f t="shared" si="0"/>
        <v>6.4758797832945872E-2</v>
      </c>
      <c r="E15" s="313">
        <f t="shared" si="1"/>
        <v>6.6807201268858057E-2</v>
      </c>
    </row>
    <row r="16" spans="2:19">
      <c r="C16" s="312">
        <f t="shared" si="2"/>
        <v>-1.5</v>
      </c>
      <c r="D16" s="313">
        <f t="shared" si="0"/>
        <v>9.1324542694510957E-2</v>
      </c>
      <c r="E16" s="313">
        <f t="shared" si="1"/>
        <v>0.10564977366685525</v>
      </c>
    </row>
    <row r="17" spans="3:9">
      <c r="C17" s="312">
        <f t="shared" si="2"/>
        <v>-1</v>
      </c>
      <c r="D17" s="313">
        <f t="shared" si="0"/>
        <v>0.12098536225957168</v>
      </c>
      <c r="E17" s="313">
        <f t="shared" si="1"/>
        <v>0.15865525393145699</v>
      </c>
    </row>
    <row r="18" spans="3:9">
      <c r="C18" s="312">
        <f t="shared" si="2"/>
        <v>-0.5</v>
      </c>
      <c r="D18" s="313">
        <f t="shared" si="0"/>
        <v>0.15056871607740221</v>
      </c>
      <c r="E18" s="313">
        <f t="shared" si="1"/>
        <v>0.22662735237686821</v>
      </c>
    </row>
    <row r="19" spans="3:9">
      <c r="C19" s="312">
        <f t="shared" si="2"/>
        <v>0</v>
      </c>
      <c r="D19" s="313">
        <f t="shared" si="0"/>
        <v>0.17603266338214976</v>
      </c>
      <c r="E19" s="313">
        <f t="shared" si="1"/>
        <v>0.30853753872598688</v>
      </c>
    </row>
    <row r="20" spans="3:9">
      <c r="C20" s="312">
        <f t="shared" si="2"/>
        <v>0.5</v>
      </c>
      <c r="D20" s="313">
        <f t="shared" si="0"/>
        <v>0.19333405840142462</v>
      </c>
      <c r="E20" s="313">
        <f t="shared" si="1"/>
        <v>0.4012936743170763</v>
      </c>
    </row>
    <row r="21" spans="3:9">
      <c r="C21" s="312">
        <f t="shared" si="2"/>
        <v>1</v>
      </c>
      <c r="D21" s="313">
        <f t="shared" si="0"/>
        <v>0.19947114020071635</v>
      </c>
      <c r="E21" s="313">
        <f t="shared" si="1"/>
        <v>0.5</v>
      </c>
    </row>
    <row r="22" spans="3:9">
      <c r="C22" s="312">
        <f t="shared" si="2"/>
        <v>1.5</v>
      </c>
      <c r="D22" s="313">
        <f t="shared" si="0"/>
        <v>0.19333405840142462</v>
      </c>
      <c r="E22" s="313">
        <f t="shared" si="1"/>
        <v>0.5987063256829237</v>
      </c>
    </row>
    <row r="23" spans="3:9">
      <c r="C23" s="312">
        <f t="shared" si="2"/>
        <v>2</v>
      </c>
      <c r="D23" s="313">
        <f t="shared" si="0"/>
        <v>0.17603266338214976</v>
      </c>
      <c r="E23" s="313">
        <f t="shared" si="1"/>
        <v>0.69146246127401312</v>
      </c>
    </row>
    <row r="24" spans="3:9">
      <c r="C24" s="312">
        <f t="shared" si="2"/>
        <v>2.5</v>
      </c>
      <c r="D24" s="313">
        <f t="shared" si="0"/>
        <v>0.15056871607740221</v>
      </c>
      <c r="E24" s="313">
        <f t="shared" si="1"/>
        <v>0.77337264762313174</v>
      </c>
    </row>
    <row r="25" spans="3:9">
      <c r="C25" s="312">
        <f t="shared" si="2"/>
        <v>3</v>
      </c>
      <c r="D25" s="313">
        <f t="shared" si="0"/>
        <v>0.12098536225957168</v>
      </c>
      <c r="E25" s="313">
        <f t="shared" si="1"/>
        <v>0.84134474606854304</v>
      </c>
    </row>
    <row r="26" spans="3:9">
      <c r="C26" s="312">
        <f t="shared" si="2"/>
        <v>3.5</v>
      </c>
      <c r="D26" s="313">
        <f t="shared" si="0"/>
        <v>9.1324542694510957E-2</v>
      </c>
      <c r="E26" s="313">
        <f t="shared" si="1"/>
        <v>0.89435022633314476</v>
      </c>
      <c r="G26" s="25"/>
    </row>
    <row r="27" spans="3:9">
      <c r="C27" s="312">
        <f t="shared" si="2"/>
        <v>4</v>
      </c>
      <c r="D27" s="313">
        <f t="shared" si="0"/>
        <v>6.4758797832945872E-2</v>
      </c>
      <c r="E27" s="313">
        <f t="shared" si="1"/>
        <v>0.93319279873114191</v>
      </c>
      <c r="G27" s="25"/>
      <c r="H27" s="31"/>
      <c r="I27" s="31"/>
    </row>
    <row r="28" spans="3:9">
      <c r="C28" s="288"/>
      <c r="D28" s="289"/>
      <c r="E28" s="289"/>
      <c r="G28" s="25"/>
    </row>
    <row r="29" spans="3:9">
      <c r="C29" s="312">
        <f>C30</f>
        <v>1.5066942062715996</v>
      </c>
      <c r="D29" s="314">
        <v>0</v>
      </c>
      <c r="E29" s="314">
        <v>0</v>
      </c>
      <c r="G29" s="25"/>
    </row>
    <row r="30" spans="3:9">
      <c r="C30" s="312">
        <f>H5</f>
        <v>1.5066942062715996</v>
      </c>
      <c r="D30" s="314">
        <f>_xlfn.NORM.DIST(C30,mu,sigma,FALSE)</f>
        <v>0.19317126674843024</v>
      </c>
      <c r="E30" s="314">
        <f>_xlfn.NORM.DIST(C30,mu,sigma,TRUE)</f>
        <v>0.6</v>
      </c>
    </row>
    <row r="31" spans="3:9" hidden="1" outlineLevel="1">
      <c r="C31" s="288">
        <f>H5</f>
        <v>1.5066942062715996</v>
      </c>
      <c r="D31" s="289">
        <f>_xlfn.NORM.DIST(C31,mu,sigma,FALSE)</f>
        <v>0.19317126674843024</v>
      </c>
      <c r="E31" s="289">
        <f>_xlfn.NORM.DIST(D31,mu,sigma,FALSE)</f>
        <v>0.18388268810242553</v>
      </c>
    </row>
    <row r="32" spans="3:9" hidden="1" outlineLevel="1"/>
    <row r="33" spans="2:9" hidden="1" outlineLevel="2">
      <c r="B33" t="s">
        <v>259</v>
      </c>
      <c r="C33" s="288">
        <v>0</v>
      </c>
    </row>
    <row r="34" spans="2:9" hidden="1" outlineLevel="2">
      <c r="B34" t="s">
        <v>260</v>
      </c>
      <c r="C34" s="288">
        <v>1</v>
      </c>
    </row>
    <row r="35" spans="2:9" hidden="1" outlineLevel="2">
      <c r="C35" s="288"/>
    </row>
    <row r="36" spans="2:9" collapsed="1"/>
    <row r="37" spans="2:9">
      <c r="C37" s="66" t="s">
        <v>261</v>
      </c>
      <c r="D37" s="290">
        <v>3</v>
      </c>
    </row>
    <row r="39" spans="2:9">
      <c r="C39" s="105" t="s">
        <v>11</v>
      </c>
      <c r="D39" s="105" t="s">
        <v>262</v>
      </c>
      <c r="E39" s="105" t="s">
        <v>253</v>
      </c>
    </row>
    <row r="40" spans="2:9">
      <c r="C40" s="288">
        <f>C33</f>
        <v>0</v>
      </c>
      <c r="D40" s="313">
        <f t="shared" ref="D40:D55" si="3">_xlfn.POISSON.DIST($C40,$D$37,FALSE)</f>
        <v>4.9787068367863944E-2</v>
      </c>
      <c r="E40" s="313">
        <f t="shared" ref="E40:E55" si="4">_xlfn.POISSON.DIST($C40,$D$37,TRUE)</f>
        <v>4.9787068367863944E-2</v>
      </c>
      <c r="G40" s="66"/>
      <c r="H40" s="284"/>
      <c r="I40" s="54"/>
    </row>
    <row r="41" spans="2:9">
      <c r="C41" s="312">
        <f t="shared" ref="C41:C55" si="5">C40+$C$34</f>
        <v>1</v>
      </c>
      <c r="D41" s="313">
        <f t="shared" si="3"/>
        <v>0.14936120510359185</v>
      </c>
      <c r="E41" s="313">
        <f t="shared" si="4"/>
        <v>0.19914827347145578</v>
      </c>
      <c r="G41" s="66"/>
      <c r="H41" s="291"/>
      <c r="I41" s="54"/>
    </row>
    <row r="42" spans="2:9">
      <c r="C42" s="294">
        <f t="shared" si="5"/>
        <v>2</v>
      </c>
      <c r="D42" s="315">
        <f t="shared" si="3"/>
        <v>0.22404180765538775</v>
      </c>
      <c r="E42" s="315">
        <f t="shared" si="4"/>
        <v>0.42319008112684342</v>
      </c>
      <c r="G42" s="66"/>
      <c r="H42" s="292"/>
      <c r="I42" s="54"/>
    </row>
    <row r="43" spans="2:9">
      <c r="C43" s="294">
        <f t="shared" si="5"/>
        <v>3</v>
      </c>
      <c r="D43" s="315">
        <f t="shared" si="3"/>
        <v>0.22404180765538778</v>
      </c>
      <c r="E43" s="315">
        <f t="shared" si="4"/>
        <v>0.64723188878223126</v>
      </c>
    </row>
    <row r="44" spans="2:9">
      <c r="C44" s="312">
        <f t="shared" si="5"/>
        <v>4</v>
      </c>
      <c r="D44" s="313">
        <f t="shared" si="3"/>
        <v>0.16803135574154085</v>
      </c>
      <c r="E44" s="313">
        <f t="shared" si="4"/>
        <v>0.81526324452377208</v>
      </c>
    </row>
    <row r="45" spans="2:9">
      <c r="C45" s="312">
        <f t="shared" si="5"/>
        <v>5</v>
      </c>
      <c r="D45" s="313">
        <f t="shared" si="3"/>
        <v>0.10081881344492449</v>
      </c>
      <c r="E45" s="313">
        <f t="shared" si="4"/>
        <v>0.91608205796869657</v>
      </c>
    </row>
    <row r="46" spans="2:9">
      <c r="C46" s="312">
        <f t="shared" si="5"/>
        <v>6</v>
      </c>
      <c r="D46" s="313">
        <f t="shared" si="3"/>
        <v>5.0409406722462261E-2</v>
      </c>
      <c r="E46" s="313">
        <f t="shared" si="4"/>
        <v>0.96649146469115887</v>
      </c>
    </row>
    <row r="47" spans="2:9">
      <c r="C47" s="312">
        <f t="shared" si="5"/>
        <v>7</v>
      </c>
      <c r="D47" s="313">
        <f t="shared" si="3"/>
        <v>2.1604031452483807E-2</v>
      </c>
      <c r="E47" s="313">
        <f t="shared" si="4"/>
        <v>0.98809549614364256</v>
      </c>
    </row>
    <row r="48" spans="2:9">
      <c r="C48" s="312">
        <f t="shared" si="5"/>
        <v>8</v>
      </c>
      <c r="D48" s="313">
        <f t="shared" si="3"/>
        <v>8.1015117946814375E-3</v>
      </c>
      <c r="E48" s="313">
        <f t="shared" si="4"/>
        <v>0.996197007938324</v>
      </c>
    </row>
    <row r="49" spans="3:5">
      <c r="C49" s="312">
        <f t="shared" si="5"/>
        <v>9</v>
      </c>
      <c r="D49" s="313">
        <f t="shared" si="3"/>
        <v>2.7005039315604771E-3</v>
      </c>
      <c r="E49" s="313">
        <f t="shared" si="4"/>
        <v>0.99889751186988451</v>
      </c>
    </row>
    <row r="50" spans="3:5">
      <c r="C50" s="312">
        <f t="shared" si="5"/>
        <v>10</v>
      </c>
      <c r="D50" s="313">
        <f t="shared" si="3"/>
        <v>8.1015117946814244E-4</v>
      </c>
      <c r="E50" s="313">
        <f t="shared" si="4"/>
        <v>0.99970766304935266</v>
      </c>
    </row>
    <row r="51" spans="3:5">
      <c r="C51" s="312">
        <f t="shared" si="5"/>
        <v>11</v>
      </c>
      <c r="D51" s="313">
        <f t="shared" si="3"/>
        <v>2.2095032167312987E-4</v>
      </c>
      <c r="E51" s="313">
        <f t="shared" si="4"/>
        <v>0.99992861337102579</v>
      </c>
    </row>
    <row r="52" spans="3:5">
      <c r="C52" s="312">
        <f t="shared" si="5"/>
        <v>12</v>
      </c>
      <c r="D52" s="313">
        <f t="shared" si="3"/>
        <v>5.5237580418282596E-5</v>
      </c>
      <c r="E52" s="313">
        <f t="shared" si="4"/>
        <v>0.99998385095144404</v>
      </c>
    </row>
    <row r="53" spans="3:5">
      <c r="C53" s="312">
        <f t="shared" si="5"/>
        <v>13</v>
      </c>
      <c r="D53" s="313">
        <f t="shared" si="3"/>
        <v>1.2747133942680586E-5</v>
      </c>
      <c r="E53" s="313">
        <f t="shared" si="4"/>
        <v>0.99999659808538677</v>
      </c>
    </row>
    <row r="54" spans="3:5">
      <c r="C54" s="312">
        <f t="shared" si="5"/>
        <v>14</v>
      </c>
      <c r="D54" s="313">
        <f t="shared" si="3"/>
        <v>2.7315287020029766E-6</v>
      </c>
      <c r="E54" s="313">
        <f t="shared" si="4"/>
        <v>0.99999932961408877</v>
      </c>
    </row>
    <row r="55" spans="3:5">
      <c r="C55" s="312">
        <f t="shared" si="5"/>
        <v>15</v>
      </c>
      <c r="D55" s="313">
        <f t="shared" si="3"/>
        <v>5.4630574040059675E-7</v>
      </c>
      <c r="E55" s="313">
        <f t="shared" si="4"/>
        <v>0.9999998759198292</v>
      </c>
    </row>
    <row r="56" spans="3:5">
      <c r="C56" s="288"/>
      <c r="D56" s="289"/>
      <c r="E56" s="289"/>
    </row>
    <row r="57" spans="3:5">
      <c r="C57" s="288"/>
      <c r="D57" s="289"/>
      <c r="E57" s="289"/>
    </row>
    <row r="58" spans="3:5">
      <c r="C58" s="288"/>
      <c r="D58" s="289"/>
      <c r="E58" s="289"/>
    </row>
    <row r="59" spans="3:5">
      <c r="C59" s="288"/>
      <c r="D59" s="289"/>
      <c r="E59" s="289"/>
    </row>
    <row r="60" spans="3:5">
      <c r="C60" s="288"/>
      <c r="D60" s="289"/>
      <c r="E60" s="289"/>
    </row>
    <row r="61" spans="3:5">
      <c r="C61" s="288"/>
      <c r="D61" s="289"/>
      <c r="E61" s="289"/>
    </row>
    <row r="62" spans="3:5">
      <c r="C62" s="288"/>
      <c r="D62" s="289"/>
      <c r="E62" s="289"/>
    </row>
    <row r="63" spans="3:5">
      <c r="C63" s="288"/>
      <c r="D63" s="289"/>
      <c r="E63" s="289"/>
    </row>
    <row r="64" spans="3:5">
      <c r="C64" s="288"/>
      <c r="D64" s="289"/>
      <c r="E64" s="289"/>
    </row>
    <row r="65" spans="2:9">
      <c r="C65" s="288"/>
      <c r="D65" s="289"/>
      <c r="E65" s="289"/>
    </row>
    <row r="67" spans="2:9">
      <c r="C67" s="288"/>
      <c r="D67" s="289"/>
      <c r="E67" s="289"/>
    </row>
    <row r="69" spans="2:9">
      <c r="C69" s="288"/>
    </row>
    <row r="70" spans="2:9">
      <c r="B70" t="s">
        <v>259</v>
      </c>
      <c r="C70" s="288">
        <v>0</v>
      </c>
    </row>
    <row r="71" spans="2:9">
      <c r="B71" t="s">
        <v>260</v>
      </c>
      <c r="C71" s="65">
        <v>0.25</v>
      </c>
    </row>
    <row r="72" spans="2:9">
      <c r="C72" s="65"/>
    </row>
    <row r="73" spans="2:9">
      <c r="C73" s="293" t="s">
        <v>263</v>
      </c>
      <c r="D73" s="294">
        <v>0</v>
      </c>
    </row>
    <row r="74" spans="2:9">
      <c r="C74" s="293" t="s">
        <v>264</v>
      </c>
      <c r="D74" s="295">
        <v>4</v>
      </c>
    </row>
    <row r="75" spans="2:9">
      <c r="C75" s="296" t="s">
        <v>265</v>
      </c>
      <c r="D75" s="284">
        <f>3/D74^3</f>
        <v>4.6875E-2</v>
      </c>
    </row>
    <row r="77" spans="2:9">
      <c r="C77" s="288"/>
      <c r="D77" s="66" t="s">
        <v>266</v>
      </c>
      <c r="E77" s="66" t="s">
        <v>267</v>
      </c>
      <c r="G77" s="66" t="s">
        <v>268</v>
      </c>
      <c r="H77" s="295">
        <v>3</v>
      </c>
    </row>
    <row r="78" spans="2:9">
      <c r="C78" s="66" t="s">
        <v>11</v>
      </c>
      <c r="D78" s="105" t="s">
        <v>269</v>
      </c>
      <c r="E78" s="105" t="s">
        <v>270</v>
      </c>
      <c r="G78" s="66" t="str">
        <f>"Prob (X ≤ "&amp;H77&amp;")"</f>
        <v>Prob (X ≤ 3)</v>
      </c>
      <c r="H78" s="94">
        <f>H77^3*D75/3</f>
        <v>0.421875</v>
      </c>
      <c r="I78" t="str">
        <f>"= "&amp;TEXT(D75,"0.0000")&amp;" * "&amp;H77&amp;"^3/3"</f>
        <v>= 0.0469 * 3^3/3</v>
      </c>
    </row>
    <row r="79" spans="2:9">
      <c r="C79" s="65">
        <f>C70</f>
        <v>0</v>
      </c>
      <c r="D79" s="297">
        <f t="shared" ref="D79:D99" si="6">$D$75*C79^2</f>
        <v>0</v>
      </c>
      <c r="E79" s="289">
        <f t="shared" ref="E79:E99" si="7">$D$75*C79^3/3</f>
        <v>0</v>
      </c>
    </row>
    <row r="80" spans="2:9">
      <c r="C80" s="65">
        <f t="shared" ref="C80:C99" si="8">C79+$C$71</f>
        <v>0.25</v>
      </c>
      <c r="D80" s="297">
        <f t="shared" si="6"/>
        <v>2.9296875E-3</v>
      </c>
      <c r="E80" s="297">
        <f t="shared" si="7"/>
        <v>2.44140625E-4</v>
      </c>
      <c r="G80" s="66" t="s">
        <v>271</v>
      </c>
      <c r="H80" s="284">
        <f ca="1">RAND()</f>
        <v>0.60498079468711186</v>
      </c>
      <c r="I80" s="54" t="s">
        <v>272</v>
      </c>
    </row>
    <row r="81" spans="3:9" ht="16.2">
      <c r="C81" s="65">
        <f t="shared" si="8"/>
        <v>0.5</v>
      </c>
      <c r="D81" s="297">
        <f t="shared" si="6"/>
        <v>1.171875E-2</v>
      </c>
      <c r="E81" s="297">
        <f t="shared" si="7"/>
        <v>1.953125E-3</v>
      </c>
      <c r="G81" s="66" t="s">
        <v>273</v>
      </c>
      <c r="H81" s="298">
        <f ca="1">(3*H80/$D$75)^(1/3)</f>
        <v>3.3830404250504245</v>
      </c>
      <c r="I81" s="299" t="str">
        <f ca="1">"= (3*"&amp;TEXT(H80,"0.000")&amp;"/"&amp;TEXT($D$75,"0.000")&amp;")^(1/3)"</f>
        <v>= (3*0.605/0.047)^(1/3)</v>
      </c>
    </row>
    <row r="82" spans="3:9">
      <c r="C82" s="65">
        <f t="shared" si="8"/>
        <v>0.75</v>
      </c>
      <c r="D82" s="297">
        <f t="shared" si="6"/>
        <v>2.63671875E-2</v>
      </c>
      <c r="E82" s="297">
        <f t="shared" si="7"/>
        <v>6.591796875E-3</v>
      </c>
      <c r="G82" s="66" t="s">
        <v>242</v>
      </c>
      <c r="H82" s="284">
        <f ca="1">D75*H81^2</f>
        <v>0.5364826180090011</v>
      </c>
      <c r="I82" s="299" t="str">
        <f ca="1">"= "&amp;TEXT($D$75,"0.000")&amp;" * "&amp;TEXT(H81,"0.000")&amp;"^2"</f>
        <v>= 0.047 * 3.383^2</v>
      </c>
    </row>
    <row r="83" spans="3:9">
      <c r="C83" s="65">
        <f t="shared" si="8"/>
        <v>1</v>
      </c>
      <c r="D83" s="297">
        <f t="shared" si="6"/>
        <v>4.6875E-2</v>
      </c>
      <c r="E83" s="297">
        <f t="shared" si="7"/>
        <v>1.5625E-2</v>
      </c>
    </row>
    <row r="84" spans="3:9">
      <c r="C84" s="65">
        <f t="shared" si="8"/>
        <v>1.25</v>
      </c>
      <c r="D84" s="297">
        <f t="shared" si="6"/>
        <v>7.32421875E-2</v>
      </c>
      <c r="E84" s="297">
        <f t="shared" si="7"/>
        <v>3.0517578125E-2</v>
      </c>
    </row>
    <row r="85" spans="3:9">
      <c r="C85" s="65">
        <f t="shared" si="8"/>
        <v>1.5</v>
      </c>
      <c r="D85" s="297">
        <f t="shared" si="6"/>
        <v>0.10546875</v>
      </c>
      <c r="E85" s="297">
        <f t="shared" si="7"/>
        <v>5.2734375E-2</v>
      </c>
    </row>
    <row r="86" spans="3:9">
      <c r="C86" s="65">
        <f t="shared" si="8"/>
        <v>1.75</v>
      </c>
      <c r="D86" s="297">
        <f t="shared" si="6"/>
        <v>0.1435546875</v>
      </c>
      <c r="E86" s="297">
        <f t="shared" si="7"/>
        <v>8.3740234375E-2</v>
      </c>
    </row>
    <row r="87" spans="3:9">
      <c r="C87" s="65">
        <f t="shared" si="8"/>
        <v>2</v>
      </c>
      <c r="D87" s="297">
        <f t="shared" si="6"/>
        <v>0.1875</v>
      </c>
      <c r="E87" s="297">
        <f t="shared" si="7"/>
        <v>0.125</v>
      </c>
    </row>
    <row r="88" spans="3:9">
      <c r="C88" s="65">
        <f t="shared" si="8"/>
        <v>2.25</v>
      </c>
      <c r="D88" s="297">
        <f t="shared" si="6"/>
        <v>0.2373046875</v>
      </c>
      <c r="E88" s="297">
        <f t="shared" si="7"/>
        <v>0.177978515625</v>
      </c>
    </row>
    <row r="89" spans="3:9">
      <c r="C89" s="65">
        <f t="shared" si="8"/>
        <v>2.5</v>
      </c>
      <c r="D89" s="297">
        <f t="shared" si="6"/>
        <v>0.29296875</v>
      </c>
      <c r="E89" s="297">
        <f t="shared" si="7"/>
        <v>0.244140625</v>
      </c>
    </row>
    <row r="90" spans="3:9">
      <c r="C90" s="65">
        <f t="shared" si="8"/>
        <v>2.75</v>
      </c>
      <c r="D90" s="297">
        <f t="shared" si="6"/>
        <v>0.3544921875</v>
      </c>
      <c r="E90" s="297">
        <f t="shared" si="7"/>
        <v>0.324951171875</v>
      </c>
    </row>
    <row r="91" spans="3:9">
      <c r="C91" s="65">
        <f t="shared" si="8"/>
        <v>3</v>
      </c>
      <c r="D91" s="297">
        <f t="shared" si="6"/>
        <v>0.421875</v>
      </c>
      <c r="E91" s="297">
        <f t="shared" si="7"/>
        <v>0.421875</v>
      </c>
    </row>
    <row r="92" spans="3:9">
      <c r="C92" s="65">
        <f t="shared" si="8"/>
        <v>3.25</v>
      </c>
      <c r="D92" s="297">
        <f t="shared" si="6"/>
        <v>0.4951171875</v>
      </c>
      <c r="E92" s="297">
        <f t="shared" si="7"/>
        <v>0.536376953125</v>
      </c>
    </row>
    <row r="93" spans="3:9">
      <c r="C93" s="65">
        <f t="shared" si="8"/>
        <v>3.5</v>
      </c>
      <c r="D93" s="297">
        <f t="shared" si="6"/>
        <v>0.57421875</v>
      </c>
      <c r="E93" s="297">
        <f t="shared" si="7"/>
        <v>0.669921875</v>
      </c>
    </row>
    <row r="94" spans="3:9">
      <c r="C94" s="65">
        <f t="shared" si="8"/>
        <v>3.75</v>
      </c>
      <c r="D94" s="297">
        <f t="shared" si="6"/>
        <v>0.6591796875</v>
      </c>
      <c r="E94" s="297">
        <f t="shared" si="7"/>
        <v>0.823974609375</v>
      </c>
    </row>
    <row r="95" spans="3:9">
      <c r="C95" s="65">
        <f t="shared" si="8"/>
        <v>4</v>
      </c>
      <c r="D95" s="297">
        <f t="shared" si="6"/>
        <v>0.75</v>
      </c>
      <c r="E95" s="297">
        <f t="shared" si="7"/>
        <v>1</v>
      </c>
    </row>
    <row r="96" spans="3:9">
      <c r="C96" s="65">
        <f t="shared" si="8"/>
        <v>4.25</v>
      </c>
      <c r="D96" s="297">
        <f t="shared" si="6"/>
        <v>0.8466796875</v>
      </c>
      <c r="E96" s="297">
        <f t="shared" si="7"/>
        <v>1.199462890625</v>
      </c>
    </row>
    <row r="97" spans="1:5">
      <c r="C97" s="65">
        <f t="shared" si="8"/>
        <v>4.5</v>
      </c>
      <c r="D97" s="297">
        <f t="shared" si="6"/>
        <v>0.94921875</v>
      </c>
      <c r="E97" s="297">
        <f t="shared" si="7"/>
        <v>1.423828125</v>
      </c>
    </row>
    <row r="98" spans="1:5">
      <c r="C98" s="65">
        <f t="shared" si="8"/>
        <v>4.75</v>
      </c>
      <c r="D98" s="297">
        <f t="shared" si="6"/>
        <v>1.0576171875</v>
      </c>
      <c r="E98" s="297">
        <f t="shared" si="7"/>
        <v>1.674560546875</v>
      </c>
    </row>
    <row r="99" spans="1:5">
      <c r="C99" s="65">
        <f t="shared" si="8"/>
        <v>5</v>
      </c>
      <c r="D99" s="297">
        <f t="shared" si="6"/>
        <v>1.171875</v>
      </c>
      <c r="E99" s="297">
        <f t="shared" si="7"/>
        <v>1.953125</v>
      </c>
    </row>
    <row r="101" spans="1:5">
      <c r="C101" s="288"/>
    </row>
    <row r="105" spans="1:5" s="155" customFormat="1">
      <c r="A105" s="155" t="s">
        <v>274</v>
      </c>
    </row>
    <row r="107" spans="1:5">
      <c r="C107" s="288">
        <f>H26</f>
        <v>0</v>
      </c>
      <c r="D107" s="288">
        <v>0</v>
      </c>
    </row>
    <row r="108" spans="1:5">
      <c r="C108" s="288">
        <f>C107</f>
        <v>0</v>
      </c>
      <c r="D108" s="288">
        <v>0.4</v>
      </c>
    </row>
    <row r="110" spans="1:5">
      <c r="C110" s="288">
        <f>I26</f>
        <v>0</v>
      </c>
      <c r="D110" s="288">
        <v>0</v>
      </c>
    </row>
    <row r="111" spans="1:5">
      <c r="C111" s="288">
        <f>C110</f>
        <v>0</v>
      </c>
      <c r="D111" s="288">
        <f>D108</f>
        <v>0.4</v>
      </c>
    </row>
    <row r="116" spans="3:5">
      <c r="C116" s="65">
        <f ca="1">H81</f>
        <v>3.3830404250504245</v>
      </c>
      <c r="D116" s="297">
        <f ca="1">$D$75*C116^2</f>
        <v>0.5364826180090011</v>
      </c>
      <c r="E116" s="297">
        <f ca="1">$D$75*C116^3/3</f>
        <v>0.60498079468711186</v>
      </c>
    </row>
    <row r="133" spans="5:5">
      <c r="E133" s="300" t="s">
        <v>275</v>
      </c>
    </row>
    <row r="134" spans="5:5">
      <c r="E134" s="300" t="s">
        <v>276</v>
      </c>
    </row>
    <row r="135" spans="5:5">
      <c r="E135" s="300" t="s">
        <v>277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3EE9-B989-43B1-B88D-C0613F25FBFC}">
  <sheetPr codeName="Sheet29"/>
  <dimension ref="A2:S135"/>
  <sheetViews>
    <sheetView showGridLines="0" topLeftCell="A27" workbookViewId="0">
      <selection activeCell="G63" sqref="G63"/>
    </sheetView>
  </sheetViews>
  <sheetFormatPr defaultRowHeight="14.4" outlineLevelRow="2"/>
  <cols>
    <col min="1" max="1" width="20.6640625" customWidth="1"/>
    <col min="3" max="5" width="8.6640625" customWidth="1"/>
  </cols>
  <sheetData>
    <row r="2" spans="2:19">
      <c r="G2" s="66" t="s">
        <v>254</v>
      </c>
      <c r="H2" s="283">
        <v>1</v>
      </c>
    </row>
    <row r="3" spans="2:19">
      <c r="G3" s="66" t="s">
        <v>255</v>
      </c>
      <c r="H3" s="283">
        <v>2</v>
      </c>
    </row>
    <row r="4" spans="2:19">
      <c r="G4" s="66" t="s">
        <v>247</v>
      </c>
      <c r="H4" s="284">
        <v>0.6</v>
      </c>
      <c r="I4" s="54"/>
    </row>
    <row r="5" spans="2:19" ht="16.2">
      <c r="G5" s="66" t="s">
        <v>256</v>
      </c>
      <c r="H5" s="284">
        <f>_xlfn.NORM.INV(H4,mu,sigma)</f>
        <v>1.5066942062715996</v>
      </c>
      <c r="I5" s="54" t="str">
        <f>"= NORM.INV("&amp;TEXT(H4,"0.000")&amp;", µ, σ)"</f>
        <v>= NORM.INV(0.600, µ, σ)</v>
      </c>
      <c r="Q5" s="285" t="s">
        <v>257</v>
      </c>
      <c r="R5" s="286">
        <f>mu+H5*sigma</f>
        <v>4.0133884125431987</v>
      </c>
      <c r="S5" s="287" t="s">
        <v>258</v>
      </c>
    </row>
    <row r="6" spans="2:19">
      <c r="G6" s="66"/>
      <c r="H6" s="284">
        <f>_xlfn.NORM.DIST(H5,mu,sigma,TRUE)</f>
        <v>0.6</v>
      </c>
      <c r="I6" s="54" t="str">
        <f>"= NORM.DIST("&amp;TEXT(H5,"0.000")&amp;", µ, σ, TRUE = CDF)"</f>
        <v>= NORM.DIST(1.507, µ, σ, TRUE = CDF)</v>
      </c>
    </row>
    <row r="7" spans="2:19" outlineLevel="1">
      <c r="B7" t="s">
        <v>259</v>
      </c>
      <c r="C7" s="288">
        <v>-4</v>
      </c>
    </row>
    <row r="8" spans="2:19" outlineLevel="1">
      <c r="B8" t="s">
        <v>260</v>
      </c>
      <c r="C8" s="288">
        <v>0.5</v>
      </c>
    </row>
    <row r="9" spans="2:19" outlineLevel="1"/>
    <row r="10" spans="2:19">
      <c r="C10" s="105" t="s">
        <v>11</v>
      </c>
      <c r="D10" s="105" t="s">
        <v>252</v>
      </c>
      <c r="E10" s="105" t="s">
        <v>253</v>
      </c>
      <c r="G10" s="25"/>
      <c r="H10" s="284"/>
    </row>
    <row r="11" spans="2:19">
      <c r="C11" s="288">
        <f>C7</f>
        <v>-4</v>
      </c>
      <c r="D11" s="313">
        <f t="shared" ref="D11:D27" si="0">_xlfn.NORM.DIST($C11,mu,sigma,FALSE)</f>
        <v>8.7641502467842702E-3</v>
      </c>
      <c r="E11" s="313">
        <f t="shared" ref="E11:E27" si="1">_xlfn.NORM.DIST($C11,mu,sigma,TRUE)</f>
        <v>6.2096653257761331E-3</v>
      </c>
    </row>
    <row r="12" spans="2:19">
      <c r="C12" s="312">
        <f t="shared" ref="C12:C27" si="2">C11+$C$8</f>
        <v>-3.5</v>
      </c>
      <c r="D12" s="313">
        <f t="shared" si="0"/>
        <v>1.5869825917833709E-2</v>
      </c>
      <c r="E12" s="313">
        <f t="shared" si="1"/>
        <v>1.2224472655044696E-2</v>
      </c>
    </row>
    <row r="13" spans="2:19">
      <c r="C13" s="312">
        <f t="shared" si="2"/>
        <v>-3</v>
      </c>
      <c r="D13" s="313">
        <f t="shared" si="0"/>
        <v>2.6995483256594031E-2</v>
      </c>
      <c r="E13" s="313">
        <f t="shared" si="1"/>
        <v>2.2750131948179191E-2</v>
      </c>
    </row>
    <row r="14" spans="2:19">
      <c r="C14" s="312">
        <f t="shared" si="2"/>
        <v>-2.5</v>
      </c>
      <c r="D14" s="313">
        <f t="shared" si="0"/>
        <v>4.3138659413255766E-2</v>
      </c>
      <c r="E14" s="313">
        <f t="shared" si="1"/>
        <v>4.00591568638171E-2</v>
      </c>
    </row>
    <row r="15" spans="2:19">
      <c r="C15" s="312">
        <f t="shared" si="2"/>
        <v>-2</v>
      </c>
      <c r="D15" s="313">
        <f t="shared" si="0"/>
        <v>6.4758797832945872E-2</v>
      </c>
      <c r="E15" s="313">
        <f t="shared" si="1"/>
        <v>6.6807201268858057E-2</v>
      </c>
    </row>
    <row r="16" spans="2:19">
      <c r="C16" s="312">
        <f t="shared" si="2"/>
        <v>-1.5</v>
      </c>
      <c r="D16" s="313">
        <f t="shared" si="0"/>
        <v>9.1324542694510957E-2</v>
      </c>
      <c r="E16" s="313">
        <f t="shared" si="1"/>
        <v>0.10564977366685525</v>
      </c>
    </row>
    <row r="17" spans="3:9">
      <c r="C17" s="312">
        <f t="shared" si="2"/>
        <v>-1</v>
      </c>
      <c r="D17" s="313">
        <f t="shared" si="0"/>
        <v>0.12098536225957168</v>
      </c>
      <c r="E17" s="313">
        <f t="shared" si="1"/>
        <v>0.15865525393145699</v>
      </c>
    </row>
    <row r="18" spans="3:9">
      <c r="C18" s="312">
        <f t="shared" si="2"/>
        <v>-0.5</v>
      </c>
      <c r="D18" s="313">
        <f t="shared" si="0"/>
        <v>0.15056871607740221</v>
      </c>
      <c r="E18" s="313">
        <f t="shared" si="1"/>
        <v>0.22662735237686821</v>
      </c>
    </row>
    <row r="19" spans="3:9">
      <c r="C19" s="312">
        <f t="shared" si="2"/>
        <v>0</v>
      </c>
      <c r="D19" s="313">
        <f t="shared" si="0"/>
        <v>0.17603266338214976</v>
      </c>
      <c r="E19" s="313">
        <f t="shared" si="1"/>
        <v>0.30853753872598688</v>
      </c>
    </row>
    <row r="20" spans="3:9">
      <c r="C20" s="312">
        <f t="shared" si="2"/>
        <v>0.5</v>
      </c>
      <c r="D20" s="313">
        <f t="shared" si="0"/>
        <v>0.19333405840142462</v>
      </c>
      <c r="E20" s="313">
        <f t="shared" si="1"/>
        <v>0.4012936743170763</v>
      </c>
    </row>
    <row r="21" spans="3:9">
      <c r="C21" s="312">
        <f t="shared" si="2"/>
        <v>1</v>
      </c>
      <c r="D21" s="313">
        <f t="shared" si="0"/>
        <v>0.19947114020071635</v>
      </c>
      <c r="E21" s="313">
        <f t="shared" si="1"/>
        <v>0.5</v>
      </c>
    </row>
    <row r="22" spans="3:9">
      <c r="C22" s="312">
        <f t="shared" si="2"/>
        <v>1.5</v>
      </c>
      <c r="D22" s="313">
        <f t="shared" si="0"/>
        <v>0.19333405840142462</v>
      </c>
      <c r="E22" s="313">
        <f t="shared" si="1"/>
        <v>0.5987063256829237</v>
      </c>
    </row>
    <row r="23" spans="3:9">
      <c r="C23" s="312">
        <f t="shared" si="2"/>
        <v>2</v>
      </c>
      <c r="D23" s="313">
        <f t="shared" si="0"/>
        <v>0.17603266338214976</v>
      </c>
      <c r="E23" s="313">
        <f t="shared" si="1"/>
        <v>0.69146246127401312</v>
      </c>
    </row>
    <row r="24" spans="3:9">
      <c r="C24" s="312">
        <f t="shared" si="2"/>
        <v>2.5</v>
      </c>
      <c r="D24" s="313">
        <f t="shared" si="0"/>
        <v>0.15056871607740221</v>
      </c>
      <c r="E24" s="313">
        <f t="shared" si="1"/>
        <v>0.77337264762313174</v>
      </c>
    </row>
    <row r="25" spans="3:9">
      <c r="C25" s="312">
        <f t="shared" si="2"/>
        <v>3</v>
      </c>
      <c r="D25" s="313">
        <f t="shared" si="0"/>
        <v>0.12098536225957168</v>
      </c>
      <c r="E25" s="313">
        <f t="shared" si="1"/>
        <v>0.84134474606854304</v>
      </c>
    </row>
    <row r="26" spans="3:9">
      <c r="C26" s="312">
        <f t="shared" si="2"/>
        <v>3.5</v>
      </c>
      <c r="D26" s="313">
        <f t="shared" si="0"/>
        <v>9.1324542694510957E-2</v>
      </c>
      <c r="E26" s="313">
        <f t="shared" si="1"/>
        <v>0.89435022633314476</v>
      </c>
      <c r="G26" s="25"/>
    </row>
    <row r="27" spans="3:9">
      <c r="C27" s="312">
        <f t="shared" si="2"/>
        <v>4</v>
      </c>
      <c r="D27" s="313">
        <f t="shared" si="0"/>
        <v>6.4758797832945872E-2</v>
      </c>
      <c r="E27" s="313">
        <f t="shared" si="1"/>
        <v>0.93319279873114191</v>
      </c>
      <c r="G27" s="25"/>
      <c r="H27" s="31"/>
      <c r="I27" s="31"/>
    </row>
    <row r="28" spans="3:9">
      <c r="C28" s="312"/>
      <c r="D28" s="313"/>
      <c r="E28" s="313"/>
      <c r="G28" s="25"/>
    </row>
    <row r="29" spans="3:9">
      <c r="C29" s="312">
        <f>C30</f>
        <v>1.5066942062715996</v>
      </c>
      <c r="D29" s="314">
        <v>0</v>
      </c>
      <c r="E29" s="314">
        <v>0</v>
      </c>
      <c r="G29" s="25"/>
    </row>
    <row r="30" spans="3:9">
      <c r="C30" s="312">
        <f>H5</f>
        <v>1.5066942062715996</v>
      </c>
      <c r="D30" s="314">
        <f>_xlfn.NORM.DIST(C30,mu,sigma,FALSE)</f>
        <v>0.19317126674843024</v>
      </c>
      <c r="E30" s="314">
        <f>_xlfn.NORM.DIST(C30,mu,sigma,TRUE)</f>
        <v>0.6</v>
      </c>
    </row>
    <row r="31" spans="3:9" outlineLevel="1">
      <c r="C31" s="312">
        <f>H5</f>
        <v>1.5066942062715996</v>
      </c>
      <c r="D31" s="313">
        <f>_xlfn.NORM.DIST(C31,mu,sigma,FALSE)</f>
        <v>0.19317126674843024</v>
      </c>
      <c r="E31" s="313">
        <f>_xlfn.NORM.DIST(D31,mu,sigma,FALSE)</f>
        <v>0.18388268810242553</v>
      </c>
    </row>
    <row r="32" spans="3:9" outlineLevel="1"/>
    <row r="33" spans="2:9" outlineLevel="2">
      <c r="B33" t="s">
        <v>259</v>
      </c>
      <c r="C33" s="288">
        <v>0</v>
      </c>
    </row>
    <row r="34" spans="2:9" outlineLevel="2">
      <c r="B34" t="s">
        <v>260</v>
      </c>
      <c r="C34" s="288">
        <v>1</v>
      </c>
    </row>
    <row r="35" spans="2:9" outlineLevel="2">
      <c r="C35" s="288"/>
    </row>
    <row r="37" spans="2:9">
      <c r="C37" s="66" t="s">
        <v>261</v>
      </c>
      <c r="D37" s="290">
        <v>3</v>
      </c>
    </row>
    <row r="39" spans="2:9">
      <c r="C39" s="105" t="s">
        <v>11</v>
      </c>
      <c r="D39" s="105" t="s">
        <v>262</v>
      </c>
      <c r="E39" s="105" t="s">
        <v>253</v>
      </c>
    </row>
    <row r="40" spans="2:9">
      <c r="C40" s="288">
        <f>C33</f>
        <v>0</v>
      </c>
      <c r="D40" s="313">
        <f t="shared" ref="D40:D55" si="3">_xlfn.POISSON.DIST($C40,$D$37,FALSE)</f>
        <v>4.9787068367863944E-2</v>
      </c>
      <c r="E40" s="313">
        <f t="shared" ref="E40:E55" si="4">_xlfn.POISSON.DIST($C40,$D$37,TRUE)</f>
        <v>4.9787068367863944E-2</v>
      </c>
      <c r="G40" s="66"/>
      <c r="H40" s="284"/>
      <c r="I40" s="54"/>
    </row>
    <row r="41" spans="2:9">
      <c r="C41" s="312">
        <f t="shared" ref="C41:C55" si="5">C40+$C$34</f>
        <v>1</v>
      </c>
      <c r="D41" s="313">
        <f t="shared" si="3"/>
        <v>0.14936120510359185</v>
      </c>
      <c r="E41" s="313">
        <f t="shared" si="4"/>
        <v>0.19914827347145578</v>
      </c>
      <c r="G41" s="66"/>
      <c r="H41" s="291"/>
      <c r="I41" s="54"/>
    </row>
    <row r="42" spans="2:9">
      <c r="C42" s="294">
        <f t="shared" si="5"/>
        <v>2</v>
      </c>
      <c r="D42" s="315">
        <f t="shared" si="3"/>
        <v>0.22404180765538775</v>
      </c>
      <c r="E42" s="315">
        <f t="shared" si="4"/>
        <v>0.42319008112684342</v>
      </c>
      <c r="G42" s="66"/>
      <c r="H42" s="292"/>
      <c r="I42" s="54"/>
    </row>
    <row r="43" spans="2:9">
      <c r="C43" s="294">
        <f t="shared" si="5"/>
        <v>3</v>
      </c>
      <c r="D43" s="315">
        <f t="shared" si="3"/>
        <v>0.22404180765538778</v>
      </c>
      <c r="E43" s="315">
        <f t="shared" si="4"/>
        <v>0.64723188878223126</v>
      </c>
    </row>
    <row r="44" spans="2:9">
      <c r="C44" s="312">
        <f t="shared" si="5"/>
        <v>4</v>
      </c>
      <c r="D44" s="313">
        <f t="shared" si="3"/>
        <v>0.16803135574154085</v>
      </c>
      <c r="E44" s="313">
        <f t="shared" si="4"/>
        <v>0.81526324452377208</v>
      </c>
    </row>
    <row r="45" spans="2:9">
      <c r="C45" s="312">
        <f t="shared" si="5"/>
        <v>5</v>
      </c>
      <c r="D45" s="313">
        <f t="shared" si="3"/>
        <v>0.10081881344492449</v>
      </c>
      <c r="E45" s="313">
        <f t="shared" si="4"/>
        <v>0.91608205796869657</v>
      </c>
    </row>
    <row r="46" spans="2:9">
      <c r="C46" s="312">
        <f t="shared" si="5"/>
        <v>6</v>
      </c>
      <c r="D46" s="313">
        <f t="shared" si="3"/>
        <v>5.0409406722462261E-2</v>
      </c>
      <c r="E46" s="313">
        <f t="shared" si="4"/>
        <v>0.96649146469115887</v>
      </c>
    </row>
    <row r="47" spans="2:9">
      <c r="C47" s="312">
        <f t="shared" si="5"/>
        <v>7</v>
      </c>
      <c r="D47" s="313">
        <f t="shared" si="3"/>
        <v>2.1604031452483807E-2</v>
      </c>
      <c r="E47" s="313">
        <f t="shared" si="4"/>
        <v>0.98809549614364256</v>
      </c>
    </row>
    <row r="48" spans="2:9">
      <c r="C48" s="312">
        <f t="shared" si="5"/>
        <v>8</v>
      </c>
      <c r="D48" s="313">
        <f t="shared" si="3"/>
        <v>8.1015117946814375E-3</v>
      </c>
      <c r="E48" s="313">
        <f t="shared" si="4"/>
        <v>0.996197007938324</v>
      </c>
    </row>
    <row r="49" spans="3:5">
      <c r="C49" s="312">
        <f t="shared" si="5"/>
        <v>9</v>
      </c>
      <c r="D49" s="313">
        <f t="shared" si="3"/>
        <v>2.7005039315604771E-3</v>
      </c>
      <c r="E49" s="313">
        <f t="shared" si="4"/>
        <v>0.99889751186988451</v>
      </c>
    </row>
    <row r="50" spans="3:5">
      <c r="C50" s="312">
        <f t="shared" si="5"/>
        <v>10</v>
      </c>
      <c r="D50" s="313">
        <f t="shared" si="3"/>
        <v>8.1015117946814244E-4</v>
      </c>
      <c r="E50" s="313">
        <f t="shared" si="4"/>
        <v>0.99970766304935266</v>
      </c>
    </row>
    <row r="51" spans="3:5">
      <c r="C51" s="312">
        <f t="shared" si="5"/>
        <v>11</v>
      </c>
      <c r="D51" s="313">
        <f t="shared" si="3"/>
        <v>2.2095032167312987E-4</v>
      </c>
      <c r="E51" s="313">
        <f t="shared" si="4"/>
        <v>0.99992861337102579</v>
      </c>
    </row>
    <row r="52" spans="3:5">
      <c r="C52" s="312">
        <f t="shared" si="5"/>
        <v>12</v>
      </c>
      <c r="D52" s="313">
        <f t="shared" si="3"/>
        <v>5.5237580418282596E-5</v>
      </c>
      <c r="E52" s="313">
        <f t="shared" si="4"/>
        <v>0.99998385095144404</v>
      </c>
    </row>
    <row r="53" spans="3:5">
      <c r="C53" s="312">
        <f t="shared" si="5"/>
        <v>13</v>
      </c>
      <c r="D53" s="313">
        <f t="shared" si="3"/>
        <v>1.2747133942680586E-5</v>
      </c>
      <c r="E53" s="313">
        <f t="shared" si="4"/>
        <v>0.99999659808538677</v>
      </c>
    </row>
    <row r="54" spans="3:5">
      <c r="C54" s="312">
        <f t="shared" si="5"/>
        <v>14</v>
      </c>
      <c r="D54" s="313">
        <f t="shared" si="3"/>
        <v>2.7315287020029766E-6</v>
      </c>
      <c r="E54" s="313">
        <f t="shared" si="4"/>
        <v>0.99999932961408877</v>
      </c>
    </row>
    <row r="55" spans="3:5">
      <c r="C55" s="312">
        <f t="shared" si="5"/>
        <v>15</v>
      </c>
      <c r="D55" s="313">
        <f t="shared" si="3"/>
        <v>5.4630574040059675E-7</v>
      </c>
      <c r="E55" s="313">
        <f t="shared" si="4"/>
        <v>0.9999998759198292</v>
      </c>
    </row>
    <row r="56" spans="3:5">
      <c r="C56" s="288"/>
      <c r="D56" s="289"/>
      <c r="E56" s="289"/>
    </row>
    <row r="57" spans="3:5">
      <c r="C57" s="288"/>
      <c r="D57" s="289"/>
      <c r="E57" s="289"/>
    </row>
    <row r="58" spans="3:5">
      <c r="C58" s="288"/>
      <c r="D58" s="289"/>
      <c r="E58" s="289"/>
    </row>
    <row r="59" spans="3:5">
      <c r="C59" s="288"/>
      <c r="D59" s="289"/>
      <c r="E59" s="289"/>
    </row>
    <row r="60" spans="3:5">
      <c r="C60" s="288"/>
      <c r="D60" s="289"/>
      <c r="E60" s="289"/>
    </row>
    <row r="61" spans="3:5">
      <c r="C61" s="288"/>
      <c r="D61" s="289"/>
      <c r="E61" s="289"/>
    </row>
    <row r="62" spans="3:5">
      <c r="C62" s="288"/>
      <c r="D62" s="289"/>
      <c r="E62" s="289"/>
    </row>
    <row r="63" spans="3:5">
      <c r="C63" s="288"/>
      <c r="D63" s="289"/>
      <c r="E63" s="289"/>
    </row>
    <row r="64" spans="3:5">
      <c r="C64" s="288"/>
      <c r="D64" s="289"/>
      <c r="E64" s="289"/>
    </row>
    <row r="65" spans="2:9">
      <c r="C65" s="288"/>
      <c r="D65" s="289"/>
      <c r="E65" s="289"/>
    </row>
    <row r="67" spans="2:9">
      <c r="C67" s="288"/>
      <c r="D67" s="289"/>
      <c r="E67" s="289"/>
    </row>
    <row r="69" spans="2:9">
      <c r="C69" s="288"/>
    </row>
    <row r="70" spans="2:9">
      <c r="B70" t="s">
        <v>259</v>
      </c>
      <c r="C70" s="288">
        <v>0</v>
      </c>
    </row>
    <row r="71" spans="2:9">
      <c r="B71" t="s">
        <v>260</v>
      </c>
      <c r="C71" s="65">
        <v>0.25</v>
      </c>
    </row>
    <row r="72" spans="2:9">
      <c r="C72" s="65"/>
    </row>
    <row r="73" spans="2:9">
      <c r="C73" s="293" t="s">
        <v>263</v>
      </c>
      <c r="D73" s="294">
        <v>0</v>
      </c>
    </row>
    <row r="74" spans="2:9">
      <c r="C74" s="293" t="s">
        <v>264</v>
      </c>
      <c r="D74" s="295">
        <v>4</v>
      </c>
    </row>
    <row r="75" spans="2:9">
      <c r="C75" s="296" t="s">
        <v>265</v>
      </c>
      <c r="D75" s="284">
        <f>3/D74^3</f>
        <v>4.6875E-2</v>
      </c>
    </row>
    <row r="77" spans="2:9">
      <c r="C77" s="288"/>
      <c r="D77" s="66" t="s">
        <v>266</v>
      </c>
      <c r="E77" s="66" t="s">
        <v>267</v>
      </c>
      <c r="G77" s="66" t="s">
        <v>268</v>
      </c>
      <c r="H77" s="295">
        <v>3</v>
      </c>
    </row>
    <row r="78" spans="2:9">
      <c r="C78" s="66" t="s">
        <v>11</v>
      </c>
      <c r="D78" s="105" t="s">
        <v>269</v>
      </c>
      <c r="E78" s="105" t="s">
        <v>270</v>
      </c>
      <c r="G78" s="66" t="str">
        <f>"Prob (X ≤ "&amp;H77&amp;")"</f>
        <v>Prob (X ≤ 3)</v>
      </c>
      <c r="H78" s="94">
        <f>H77^3*D75/3</f>
        <v>0.421875</v>
      </c>
      <c r="I78" t="str">
        <f>"= "&amp;TEXT(D75,"0.0000")&amp;" * "&amp;H77&amp;"^3/3"</f>
        <v>= 0.0469 * 3^3/3</v>
      </c>
    </row>
    <row r="79" spans="2:9">
      <c r="C79" s="65">
        <f>C70</f>
        <v>0</v>
      </c>
      <c r="D79" s="297">
        <f t="shared" ref="D79:D99" si="6">$D$75*C79^2</f>
        <v>0</v>
      </c>
      <c r="E79" s="289">
        <f t="shared" ref="E79:E99" si="7">$D$75*C79^3/3</f>
        <v>0</v>
      </c>
    </row>
    <row r="80" spans="2:9">
      <c r="C80" s="65">
        <f t="shared" ref="C80:C99" si="8">C79+$C$71</f>
        <v>0.25</v>
      </c>
      <c r="D80" s="297">
        <f t="shared" si="6"/>
        <v>2.9296875E-3</v>
      </c>
      <c r="E80" s="297">
        <f t="shared" si="7"/>
        <v>2.44140625E-4</v>
      </c>
      <c r="G80" s="66" t="s">
        <v>271</v>
      </c>
      <c r="H80" s="284">
        <f ca="1">RAND()</f>
        <v>0.27800570775514188</v>
      </c>
      <c r="I80" s="54" t="s">
        <v>272</v>
      </c>
    </row>
    <row r="81" spans="3:9" ht="16.2">
      <c r="C81" s="65">
        <f t="shared" si="8"/>
        <v>0.5</v>
      </c>
      <c r="D81" s="297">
        <f t="shared" si="6"/>
        <v>1.171875E-2</v>
      </c>
      <c r="E81" s="297">
        <f t="shared" si="7"/>
        <v>1.953125E-3</v>
      </c>
      <c r="G81" s="66" t="s">
        <v>273</v>
      </c>
      <c r="H81" s="298">
        <f ca="1">(3*H80/$D$75)^(1/3)</f>
        <v>2.6106254181723925</v>
      </c>
      <c r="I81" s="299" t="str">
        <f ca="1">"= (3*"&amp;TEXT(H80,"0.000")&amp;"/"&amp;TEXT($D$75,"0.000")&amp;")^(1/3)"</f>
        <v>= (3*0.278/0.047)^(1/3)</v>
      </c>
    </row>
    <row r="82" spans="3:9">
      <c r="C82" s="65">
        <f t="shared" si="8"/>
        <v>0.75</v>
      </c>
      <c r="D82" s="297">
        <f t="shared" si="6"/>
        <v>2.63671875E-2</v>
      </c>
      <c r="E82" s="297">
        <f t="shared" si="7"/>
        <v>6.591796875E-3</v>
      </c>
      <c r="G82" s="66" t="s">
        <v>242</v>
      </c>
      <c r="H82" s="284">
        <f ca="1">D75*H81^2</f>
        <v>0.31947023784411466</v>
      </c>
      <c r="I82" s="299" t="str">
        <f ca="1">"= "&amp;TEXT($D$75,"0.000")&amp;" * "&amp;TEXT(H81,"0.000")&amp;"^2"</f>
        <v>= 0.047 * 2.611^2</v>
      </c>
    </row>
    <row r="83" spans="3:9">
      <c r="C83" s="65">
        <f t="shared" si="8"/>
        <v>1</v>
      </c>
      <c r="D83" s="297">
        <f t="shared" si="6"/>
        <v>4.6875E-2</v>
      </c>
      <c r="E83" s="297">
        <f t="shared" si="7"/>
        <v>1.5625E-2</v>
      </c>
    </row>
    <row r="84" spans="3:9">
      <c r="C84" s="65">
        <f t="shared" si="8"/>
        <v>1.25</v>
      </c>
      <c r="D84" s="297">
        <f t="shared" si="6"/>
        <v>7.32421875E-2</v>
      </c>
      <c r="E84" s="297">
        <f t="shared" si="7"/>
        <v>3.0517578125E-2</v>
      </c>
    </row>
    <row r="85" spans="3:9">
      <c r="C85" s="65">
        <f t="shared" si="8"/>
        <v>1.5</v>
      </c>
      <c r="D85" s="297">
        <f t="shared" si="6"/>
        <v>0.10546875</v>
      </c>
      <c r="E85" s="297">
        <f t="shared" si="7"/>
        <v>5.2734375E-2</v>
      </c>
    </row>
    <row r="86" spans="3:9">
      <c r="C86" s="65">
        <f t="shared" si="8"/>
        <v>1.75</v>
      </c>
      <c r="D86" s="297">
        <f t="shared" si="6"/>
        <v>0.1435546875</v>
      </c>
      <c r="E86" s="297">
        <f t="shared" si="7"/>
        <v>8.3740234375E-2</v>
      </c>
    </row>
    <row r="87" spans="3:9">
      <c r="C87" s="65">
        <f t="shared" si="8"/>
        <v>2</v>
      </c>
      <c r="D87" s="297">
        <f t="shared" si="6"/>
        <v>0.1875</v>
      </c>
      <c r="E87" s="297">
        <f t="shared" si="7"/>
        <v>0.125</v>
      </c>
    </row>
    <row r="88" spans="3:9">
      <c r="C88" s="65">
        <f t="shared" si="8"/>
        <v>2.25</v>
      </c>
      <c r="D88" s="297">
        <f t="shared" si="6"/>
        <v>0.2373046875</v>
      </c>
      <c r="E88" s="297">
        <f t="shared" si="7"/>
        <v>0.177978515625</v>
      </c>
    </row>
    <row r="89" spans="3:9">
      <c r="C89" s="65">
        <f t="shared" si="8"/>
        <v>2.5</v>
      </c>
      <c r="D89" s="297">
        <f t="shared" si="6"/>
        <v>0.29296875</v>
      </c>
      <c r="E89" s="297">
        <f t="shared" si="7"/>
        <v>0.244140625</v>
      </c>
    </row>
    <row r="90" spans="3:9">
      <c r="C90" s="65">
        <f t="shared" si="8"/>
        <v>2.75</v>
      </c>
      <c r="D90" s="297">
        <f t="shared" si="6"/>
        <v>0.3544921875</v>
      </c>
      <c r="E90" s="297">
        <f t="shared" si="7"/>
        <v>0.324951171875</v>
      </c>
    </row>
    <row r="91" spans="3:9">
      <c r="C91" s="65">
        <f t="shared" si="8"/>
        <v>3</v>
      </c>
      <c r="D91" s="297">
        <f t="shared" si="6"/>
        <v>0.421875</v>
      </c>
      <c r="E91" s="297">
        <f t="shared" si="7"/>
        <v>0.421875</v>
      </c>
    </row>
    <row r="92" spans="3:9">
      <c r="C92" s="65">
        <f t="shared" si="8"/>
        <v>3.25</v>
      </c>
      <c r="D92" s="297">
        <f t="shared" si="6"/>
        <v>0.4951171875</v>
      </c>
      <c r="E92" s="297">
        <f t="shared" si="7"/>
        <v>0.536376953125</v>
      </c>
    </row>
    <row r="93" spans="3:9">
      <c r="C93" s="65">
        <f t="shared" si="8"/>
        <v>3.5</v>
      </c>
      <c r="D93" s="297">
        <f t="shared" si="6"/>
        <v>0.57421875</v>
      </c>
      <c r="E93" s="297">
        <f t="shared" si="7"/>
        <v>0.669921875</v>
      </c>
    </row>
    <row r="94" spans="3:9">
      <c r="C94" s="65">
        <f t="shared" si="8"/>
        <v>3.75</v>
      </c>
      <c r="D94" s="297">
        <f t="shared" si="6"/>
        <v>0.6591796875</v>
      </c>
      <c r="E94" s="297">
        <f t="shared" si="7"/>
        <v>0.823974609375</v>
      </c>
    </row>
    <row r="95" spans="3:9">
      <c r="C95" s="65">
        <f t="shared" si="8"/>
        <v>4</v>
      </c>
      <c r="D95" s="297">
        <f t="shared" si="6"/>
        <v>0.75</v>
      </c>
      <c r="E95" s="297">
        <f t="shared" si="7"/>
        <v>1</v>
      </c>
    </row>
    <row r="96" spans="3:9">
      <c r="C96" s="65">
        <f t="shared" si="8"/>
        <v>4.25</v>
      </c>
      <c r="D96" s="297">
        <f t="shared" si="6"/>
        <v>0.8466796875</v>
      </c>
      <c r="E96" s="297">
        <f t="shared" si="7"/>
        <v>1.199462890625</v>
      </c>
    </row>
    <row r="97" spans="1:5">
      <c r="C97" s="65">
        <f t="shared" si="8"/>
        <v>4.5</v>
      </c>
      <c r="D97" s="297">
        <f t="shared" si="6"/>
        <v>0.94921875</v>
      </c>
      <c r="E97" s="297">
        <f t="shared" si="7"/>
        <v>1.423828125</v>
      </c>
    </row>
    <row r="98" spans="1:5">
      <c r="C98" s="65">
        <f t="shared" si="8"/>
        <v>4.75</v>
      </c>
      <c r="D98" s="297">
        <f t="shared" si="6"/>
        <v>1.0576171875</v>
      </c>
      <c r="E98" s="297">
        <f t="shared" si="7"/>
        <v>1.674560546875</v>
      </c>
    </row>
    <row r="99" spans="1:5">
      <c r="C99" s="65">
        <f t="shared" si="8"/>
        <v>5</v>
      </c>
      <c r="D99" s="297">
        <f t="shared" si="6"/>
        <v>1.171875</v>
      </c>
      <c r="E99" s="297">
        <f t="shared" si="7"/>
        <v>1.953125</v>
      </c>
    </row>
    <row r="101" spans="1:5">
      <c r="C101" s="288"/>
    </row>
    <row r="105" spans="1:5" s="155" customFormat="1">
      <c r="A105" s="155" t="s">
        <v>274</v>
      </c>
    </row>
    <row r="107" spans="1:5">
      <c r="C107" s="288">
        <f>H26</f>
        <v>0</v>
      </c>
      <c r="D107" s="288">
        <v>0</v>
      </c>
    </row>
    <row r="108" spans="1:5">
      <c r="C108" s="288">
        <f>C107</f>
        <v>0</v>
      </c>
      <c r="D108" s="288">
        <v>0.4</v>
      </c>
    </row>
    <row r="110" spans="1:5">
      <c r="C110" s="288">
        <f>I26</f>
        <v>0</v>
      </c>
      <c r="D110" s="288">
        <v>0</v>
      </c>
    </row>
    <row r="111" spans="1:5">
      <c r="C111" s="288">
        <f>C110</f>
        <v>0</v>
      </c>
      <c r="D111" s="288">
        <f>D108</f>
        <v>0.4</v>
      </c>
    </row>
    <row r="116" spans="3:5">
      <c r="C116" s="65">
        <f ca="1">H81</f>
        <v>2.6106254181723925</v>
      </c>
      <c r="D116" s="297">
        <f ca="1">$D$75*C116^2</f>
        <v>0.31947023784411466</v>
      </c>
      <c r="E116" s="297">
        <f ca="1">$D$75*C116^3/3</f>
        <v>0.27800570775514183</v>
      </c>
    </row>
    <row r="133" spans="5:5">
      <c r="E133" s="300" t="s">
        <v>275</v>
      </c>
    </row>
    <row r="134" spans="5:5">
      <c r="E134" s="300" t="s">
        <v>276</v>
      </c>
    </row>
    <row r="135" spans="5:5">
      <c r="E135" s="300" t="s">
        <v>277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FF50-42E5-42D5-9946-698BFD591ADF}">
  <sheetPr codeName="Sheet30"/>
  <dimension ref="B1:Q52"/>
  <sheetViews>
    <sheetView showGridLines="0" workbookViewId="0">
      <selection activeCell="K56" sqref="K56"/>
    </sheetView>
  </sheetViews>
  <sheetFormatPr defaultColWidth="9.109375" defaultRowHeight="14.4"/>
  <cols>
    <col min="1" max="1" width="9.109375" style="73"/>
    <col min="2" max="2" width="9.109375" style="41"/>
    <col min="3" max="3" width="9.109375" style="301"/>
    <col min="4" max="4" width="12" style="73" bestFit="1" customWidth="1"/>
    <col min="5" max="5" width="12.6640625" style="73" bestFit="1" customWidth="1"/>
    <col min="6" max="6" width="11" style="73" bestFit="1" customWidth="1"/>
    <col min="7" max="7" width="9.109375" style="73"/>
    <col min="8" max="8" width="9.6640625" style="301" customWidth="1"/>
    <col min="9" max="9" width="12" style="73" bestFit="1" customWidth="1"/>
    <col min="10" max="10" width="12.6640625" style="73" bestFit="1" customWidth="1"/>
    <col min="11" max="11" width="12" style="73" bestFit="1" customWidth="1"/>
    <col min="12" max="12" width="9.109375" style="73"/>
    <col min="13" max="13" width="10.33203125" style="301" customWidth="1"/>
    <col min="14" max="14" width="15.6640625" style="73" bestFit="1" customWidth="1"/>
    <col min="15" max="15" width="14.44140625" style="73" bestFit="1" customWidth="1"/>
    <col min="16" max="16" width="13.6640625" style="73" bestFit="1" customWidth="1"/>
    <col min="17" max="16384" width="9.109375" style="73"/>
  </cols>
  <sheetData>
    <row r="1" spans="2:16">
      <c r="B1" s="154" t="s">
        <v>278</v>
      </c>
    </row>
    <row r="2" spans="2:16" s="41" customFormat="1">
      <c r="C2" s="302"/>
      <c r="H2" s="302"/>
      <c r="I2" s="154" t="s">
        <v>279</v>
      </c>
      <c r="M2" s="302"/>
      <c r="N2" s="154" t="s">
        <v>280</v>
      </c>
    </row>
    <row r="3" spans="2:16">
      <c r="B3" s="303" t="s">
        <v>281</v>
      </c>
      <c r="I3" s="304" t="s">
        <v>282</v>
      </c>
      <c r="N3" s="304" t="s">
        <v>283</v>
      </c>
    </row>
    <row r="5" spans="2:16" s="41" customFormat="1">
      <c r="C5" s="302"/>
      <c r="D5" s="41" t="s">
        <v>249</v>
      </c>
      <c r="E5" s="41" t="s">
        <v>250</v>
      </c>
      <c r="F5" s="41" t="s">
        <v>251</v>
      </c>
      <c r="H5" s="302"/>
      <c r="I5" s="41" t="s">
        <v>249</v>
      </c>
      <c r="J5" s="41" t="s">
        <v>250</v>
      </c>
      <c r="K5" s="41" t="s">
        <v>251</v>
      </c>
      <c r="M5" s="302"/>
      <c r="N5" s="41" t="s">
        <v>249</v>
      </c>
      <c r="O5" s="41" t="s">
        <v>250</v>
      </c>
      <c r="P5" s="41" t="s">
        <v>251</v>
      </c>
    </row>
    <row r="6" spans="2:16" s="41" customFormat="1">
      <c r="B6" s="41" t="s">
        <v>284</v>
      </c>
      <c r="C6" s="302" t="s">
        <v>285</v>
      </c>
      <c r="D6" s="41" t="s">
        <v>240</v>
      </c>
      <c r="E6" s="41" t="s">
        <v>241</v>
      </c>
      <c r="F6" s="41" t="s">
        <v>286</v>
      </c>
      <c r="H6" s="302" t="s">
        <v>287</v>
      </c>
      <c r="I6" s="41" t="s">
        <v>240</v>
      </c>
      <c r="J6" s="41" t="s">
        <v>241</v>
      </c>
      <c r="K6" s="41" t="s">
        <v>286</v>
      </c>
      <c r="M6" s="302" t="s">
        <v>287</v>
      </c>
      <c r="N6" s="41" t="s">
        <v>240</v>
      </c>
      <c r="O6" s="41" t="s">
        <v>241</v>
      </c>
      <c r="P6" s="41" t="s">
        <v>286</v>
      </c>
    </row>
    <row r="7" spans="2:16">
      <c r="B7" s="41">
        <v>1</v>
      </c>
      <c r="C7" s="305">
        <v>22</v>
      </c>
      <c r="D7" s="306">
        <f t="shared" ref="D7:D36" ca="1" si="0">(C7-Mean)^2</f>
        <v>309.76000000000005</v>
      </c>
      <c r="E7" s="306">
        <f t="shared" ref="E7:E36" ca="1" si="1">(C7-Mean)^3</f>
        <v>-5451.7760000000017</v>
      </c>
      <c r="F7" s="306">
        <f t="shared" ref="F7:F36" ca="1" si="2">(C7-Mean)^4</f>
        <v>95951.257600000026</v>
      </c>
      <c r="H7" s="301">
        <f>32+1.8*C7</f>
        <v>71.599999999999994</v>
      </c>
      <c r="I7" s="306">
        <f t="shared" ref="I7:I36" ca="1" si="3">(H7-MeanF)^2</f>
        <v>1003.6223999999995</v>
      </c>
      <c r="J7" s="306">
        <f t="shared" ref="J7:J36" ca="1" si="4">(H7-MeanF)^3</f>
        <v>-31794.757631999979</v>
      </c>
      <c r="K7" s="306">
        <f t="shared" ref="K7:K36" ca="1" si="5">(H7-MeanF)^4</f>
        <v>1007257.921781759</v>
      </c>
      <c r="M7" s="301">
        <f>32-1.8*C7</f>
        <v>-7.6000000000000014</v>
      </c>
      <c r="N7" s="306">
        <f t="shared" ref="N7:N36" ca="1" si="6">(M7-MeanB)^2</f>
        <v>1003.6224000000004</v>
      </c>
      <c r="O7" s="306">
        <f t="shared" ref="O7:O36" ca="1" si="7">(M7-MeanB)^3</f>
        <v>31794.757632000019</v>
      </c>
      <c r="P7" s="306">
        <f t="shared" ref="P7:P36" ca="1" si="8">(M7-MeanB)^4</f>
        <v>1007257.9217817609</v>
      </c>
    </row>
    <row r="8" spans="2:16">
      <c r="B8" s="41">
        <v>2</v>
      </c>
      <c r="C8" s="301">
        <f ca="1">RANDBETWEEN(C7-8, C7+8)</f>
        <v>28</v>
      </c>
      <c r="D8" s="306">
        <f t="shared" ca="1" si="0"/>
        <v>134.56000000000003</v>
      </c>
      <c r="E8" s="306">
        <f t="shared" ca="1" si="1"/>
        <v>-1560.8960000000006</v>
      </c>
      <c r="F8" s="306">
        <f t="shared" ca="1" si="2"/>
        <v>18106.393600000007</v>
      </c>
      <c r="H8" s="301">
        <f t="shared" ref="H8:H36" ca="1" si="9">32+1.8*C8</f>
        <v>82.4</v>
      </c>
      <c r="I8" s="306">
        <f t="shared" ca="1" si="3"/>
        <v>435.97439999999921</v>
      </c>
      <c r="J8" s="306">
        <f t="shared" ca="1" si="4"/>
        <v>-9103.1454719999747</v>
      </c>
      <c r="K8" s="306">
        <f t="shared" ca="1" si="5"/>
        <v>190073.67745535931</v>
      </c>
      <c r="M8" s="301">
        <f t="shared" ref="M8:M36" ca="1" si="10">32-1.8*C8</f>
        <v>-18.399999999999999</v>
      </c>
      <c r="N8" s="306">
        <f t="shared" ca="1" si="6"/>
        <v>435.9744000000004</v>
      </c>
      <c r="O8" s="306">
        <f t="shared" ca="1" si="7"/>
        <v>9103.1454720000129</v>
      </c>
      <c r="P8" s="306">
        <f t="shared" ca="1" si="8"/>
        <v>190073.67745536036</v>
      </c>
    </row>
    <row r="9" spans="2:16">
      <c r="B9" s="41">
        <v>3</v>
      </c>
      <c r="C9" s="301">
        <f t="shared" ref="C9:C36" ca="1" si="11">RANDBETWEEN(C8-8, C8+8)</f>
        <v>30</v>
      </c>
      <c r="D9" s="306">
        <f t="shared" ca="1" si="0"/>
        <v>92.160000000000025</v>
      </c>
      <c r="E9" s="306">
        <f t="shared" ca="1" si="1"/>
        <v>-884.73600000000033</v>
      </c>
      <c r="F9" s="306">
        <f t="shared" ca="1" si="2"/>
        <v>8493.465600000005</v>
      </c>
      <c r="H9" s="301">
        <f t="shared" ca="1" si="9"/>
        <v>86</v>
      </c>
      <c r="I9" s="306">
        <f t="shared" ca="1" si="3"/>
        <v>298.59839999999957</v>
      </c>
      <c r="J9" s="306">
        <f t="shared" ca="1" si="4"/>
        <v>-5159.7803519999889</v>
      </c>
      <c r="K9" s="306">
        <f t="shared" ca="1" si="5"/>
        <v>89161.004482559743</v>
      </c>
      <c r="M9" s="301">
        <f t="shared" ca="1" si="10"/>
        <v>-22</v>
      </c>
      <c r="N9" s="306">
        <f t="shared" ca="1" si="6"/>
        <v>298.59840000000031</v>
      </c>
      <c r="O9" s="306">
        <f t="shared" ca="1" si="7"/>
        <v>5159.780352000008</v>
      </c>
      <c r="P9" s="306">
        <f t="shared" ca="1" si="8"/>
        <v>89161.00448256018</v>
      </c>
    </row>
    <row r="10" spans="2:16">
      <c r="B10" s="41">
        <v>4</v>
      </c>
      <c r="C10" s="301">
        <f t="shared" ca="1" si="11"/>
        <v>29</v>
      </c>
      <c r="D10" s="306">
        <f t="shared" ca="1" si="0"/>
        <v>112.36000000000003</v>
      </c>
      <c r="E10" s="306">
        <f t="shared" ca="1" si="1"/>
        <v>-1191.0160000000005</v>
      </c>
      <c r="F10" s="306">
        <f t="shared" ca="1" si="2"/>
        <v>12624.769600000007</v>
      </c>
      <c r="H10" s="301">
        <f t="shared" ca="1" si="9"/>
        <v>84.2</v>
      </c>
      <c r="I10" s="306">
        <f t="shared" ca="1" si="3"/>
        <v>364.04639999999938</v>
      </c>
      <c r="J10" s="306">
        <f t="shared" ca="1" si="4"/>
        <v>-6946.005311999982</v>
      </c>
      <c r="K10" s="306">
        <f t="shared" ca="1" si="5"/>
        <v>132529.78135295954</v>
      </c>
      <c r="M10" s="301">
        <f t="shared" ca="1" si="10"/>
        <v>-20.200000000000003</v>
      </c>
      <c r="N10" s="306">
        <f t="shared" ca="1" si="6"/>
        <v>364.04640000000023</v>
      </c>
      <c r="O10" s="306">
        <f t="shared" ca="1" si="7"/>
        <v>6946.0053120000066</v>
      </c>
      <c r="P10" s="306">
        <f t="shared" ca="1" si="8"/>
        <v>132529.78135296016</v>
      </c>
    </row>
    <row r="11" spans="2:16" hidden="1">
      <c r="B11" s="41">
        <v>5</v>
      </c>
      <c r="C11" s="301">
        <f t="shared" ca="1" si="11"/>
        <v>36</v>
      </c>
      <c r="D11" s="306">
        <f t="shared" ca="1" si="0"/>
        <v>12.96000000000001</v>
      </c>
      <c r="E11" s="306">
        <f t="shared" ca="1" si="1"/>
        <v>-46.656000000000056</v>
      </c>
      <c r="F11" s="306">
        <f t="shared" ca="1" si="2"/>
        <v>167.96160000000026</v>
      </c>
      <c r="H11" s="301">
        <f t="shared" ca="1" si="9"/>
        <v>96.8</v>
      </c>
      <c r="I11" s="306">
        <f t="shared" ca="1" si="3"/>
        <v>41.990399999999866</v>
      </c>
      <c r="J11" s="306">
        <f t="shared" ca="1" si="4"/>
        <v>-272.09779199999872</v>
      </c>
      <c r="K11" s="306">
        <f t="shared" ca="1" si="5"/>
        <v>1763.1936921599888</v>
      </c>
      <c r="M11" s="301">
        <f t="shared" ca="1" si="10"/>
        <v>-32.799999999999997</v>
      </c>
      <c r="N11" s="306">
        <f t="shared" ca="1" si="6"/>
        <v>41.990400000000143</v>
      </c>
      <c r="O11" s="306">
        <f t="shared" ca="1" si="7"/>
        <v>272.09779200000139</v>
      </c>
      <c r="P11" s="306">
        <f t="shared" ca="1" si="8"/>
        <v>1763.193692160012</v>
      </c>
    </row>
    <row r="12" spans="2:16" hidden="1">
      <c r="B12" s="41">
        <v>6</v>
      </c>
      <c r="C12" s="301">
        <f t="shared" ca="1" si="11"/>
        <v>43</v>
      </c>
      <c r="D12" s="306">
        <f t="shared" ca="1" si="0"/>
        <v>11.55999999999999</v>
      </c>
      <c r="E12" s="306">
        <f t="shared" ca="1" si="1"/>
        <v>39.303999999999952</v>
      </c>
      <c r="F12" s="306">
        <f t="shared" ca="1" si="2"/>
        <v>133.63359999999977</v>
      </c>
      <c r="H12" s="301">
        <f t="shared" ca="1" si="9"/>
        <v>109.4</v>
      </c>
      <c r="I12" s="306">
        <f t="shared" ca="1" si="3"/>
        <v>37.454400000000227</v>
      </c>
      <c r="J12" s="306">
        <f t="shared" ca="1" si="4"/>
        <v>229.22092800000209</v>
      </c>
      <c r="K12" s="306">
        <f t="shared" ca="1" si="5"/>
        <v>1402.8320793600169</v>
      </c>
      <c r="M12" s="301">
        <f t="shared" ca="1" si="10"/>
        <v>-45.400000000000006</v>
      </c>
      <c r="N12" s="306">
        <f t="shared" ca="1" si="6"/>
        <v>37.454399999999971</v>
      </c>
      <c r="O12" s="306">
        <f t="shared" ca="1" si="7"/>
        <v>-229.22092799999973</v>
      </c>
      <c r="P12" s="306">
        <f t="shared" ca="1" si="8"/>
        <v>1402.8320793599978</v>
      </c>
    </row>
    <row r="13" spans="2:16" hidden="1">
      <c r="B13" s="41">
        <v>7</v>
      </c>
      <c r="C13" s="301">
        <f t="shared" ca="1" si="11"/>
        <v>43</v>
      </c>
      <c r="D13" s="306">
        <f t="shared" ca="1" si="0"/>
        <v>11.55999999999999</v>
      </c>
      <c r="E13" s="306">
        <f t="shared" ca="1" si="1"/>
        <v>39.303999999999952</v>
      </c>
      <c r="F13" s="306">
        <f t="shared" ca="1" si="2"/>
        <v>133.63359999999977</v>
      </c>
      <c r="H13" s="301">
        <f t="shared" ca="1" si="9"/>
        <v>109.4</v>
      </c>
      <c r="I13" s="306">
        <f t="shared" ca="1" si="3"/>
        <v>37.454400000000227</v>
      </c>
      <c r="J13" s="306">
        <f t="shared" ca="1" si="4"/>
        <v>229.22092800000209</v>
      </c>
      <c r="K13" s="306">
        <f t="shared" ca="1" si="5"/>
        <v>1402.8320793600169</v>
      </c>
      <c r="M13" s="301">
        <f t="shared" ca="1" si="10"/>
        <v>-45.400000000000006</v>
      </c>
      <c r="N13" s="306">
        <f t="shared" ca="1" si="6"/>
        <v>37.454399999999971</v>
      </c>
      <c r="O13" s="306">
        <f t="shared" ca="1" si="7"/>
        <v>-229.22092799999973</v>
      </c>
      <c r="P13" s="306">
        <f t="shared" ca="1" si="8"/>
        <v>1402.8320793599978</v>
      </c>
    </row>
    <row r="14" spans="2:16" hidden="1">
      <c r="B14" s="41">
        <v>8</v>
      </c>
      <c r="C14" s="301">
        <f t="shared" ca="1" si="11"/>
        <v>37</v>
      </c>
      <c r="D14" s="306">
        <f t="shared" ca="1" si="0"/>
        <v>6.7600000000000078</v>
      </c>
      <c r="E14" s="306">
        <f t="shared" ca="1" si="1"/>
        <v>-17.576000000000029</v>
      </c>
      <c r="F14" s="306">
        <f t="shared" ca="1" si="2"/>
        <v>45.697600000000108</v>
      </c>
      <c r="H14" s="301">
        <f t="shared" ca="1" si="9"/>
        <v>98.600000000000009</v>
      </c>
      <c r="I14" s="306">
        <f t="shared" ca="1" si="3"/>
        <v>21.902399999999798</v>
      </c>
      <c r="J14" s="306">
        <f t="shared" ca="1" si="4"/>
        <v>-102.50323199999858</v>
      </c>
      <c r="K14" s="306">
        <f t="shared" ca="1" si="5"/>
        <v>479.71512575999111</v>
      </c>
      <c r="M14" s="301">
        <f t="shared" ca="1" si="10"/>
        <v>-34.600000000000009</v>
      </c>
      <c r="N14" s="306">
        <f t="shared" ca="1" si="6"/>
        <v>21.902399999999997</v>
      </c>
      <c r="O14" s="306">
        <f t="shared" ca="1" si="7"/>
        <v>102.50323199999998</v>
      </c>
      <c r="P14" s="306">
        <f t="shared" ca="1" si="8"/>
        <v>479.71512575999986</v>
      </c>
    </row>
    <row r="15" spans="2:16" hidden="1">
      <c r="B15" s="41">
        <v>9</v>
      </c>
      <c r="C15" s="301">
        <f t="shared" ca="1" si="11"/>
        <v>43</v>
      </c>
      <c r="D15" s="306">
        <f t="shared" ca="1" si="0"/>
        <v>11.55999999999999</v>
      </c>
      <c r="E15" s="306">
        <f t="shared" ca="1" si="1"/>
        <v>39.303999999999952</v>
      </c>
      <c r="F15" s="306">
        <f t="shared" ca="1" si="2"/>
        <v>133.63359999999977</v>
      </c>
      <c r="H15" s="301">
        <f t="shared" ca="1" si="9"/>
        <v>109.4</v>
      </c>
      <c r="I15" s="306">
        <f t="shared" ca="1" si="3"/>
        <v>37.454400000000227</v>
      </c>
      <c r="J15" s="306">
        <f t="shared" ca="1" si="4"/>
        <v>229.22092800000209</v>
      </c>
      <c r="K15" s="306">
        <f t="shared" ca="1" si="5"/>
        <v>1402.8320793600169</v>
      </c>
      <c r="M15" s="301">
        <f t="shared" ca="1" si="10"/>
        <v>-45.400000000000006</v>
      </c>
      <c r="N15" s="306">
        <f t="shared" ca="1" si="6"/>
        <v>37.454399999999971</v>
      </c>
      <c r="O15" s="306">
        <f t="shared" ca="1" si="7"/>
        <v>-229.22092799999973</v>
      </c>
      <c r="P15" s="306">
        <f t="shared" ca="1" si="8"/>
        <v>1402.8320793599978</v>
      </c>
    </row>
    <row r="16" spans="2:16" hidden="1">
      <c r="B16" s="41">
        <v>10</v>
      </c>
      <c r="C16" s="301">
        <f t="shared" ca="1" si="11"/>
        <v>48</v>
      </c>
      <c r="D16" s="306">
        <f t="shared" ca="1" si="0"/>
        <v>70.559999999999974</v>
      </c>
      <c r="E16" s="306">
        <f t="shared" ca="1" si="1"/>
        <v>592.70399999999972</v>
      </c>
      <c r="F16" s="306">
        <f t="shared" ca="1" si="2"/>
        <v>4978.7135999999964</v>
      </c>
      <c r="H16" s="301">
        <f t="shared" ca="1" si="9"/>
        <v>118.4</v>
      </c>
      <c r="I16" s="306">
        <f t="shared" ca="1" si="3"/>
        <v>228.61440000000056</v>
      </c>
      <c r="J16" s="306">
        <f t="shared" ca="1" si="4"/>
        <v>3456.6497280000126</v>
      </c>
      <c r="K16" s="306">
        <f t="shared" ca="1" si="5"/>
        <v>52264.543887360254</v>
      </c>
      <c r="M16" s="301">
        <f t="shared" ca="1" si="10"/>
        <v>-54.400000000000006</v>
      </c>
      <c r="N16" s="306">
        <f t="shared" ca="1" si="6"/>
        <v>228.61439999999993</v>
      </c>
      <c r="O16" s="306">
        <f t="shared" ca="1" si="7"/>
        <v>-3456.6497279999985</v>
      </c>
      <c r="P16" s="306">
        <f t="shared" ca="1" si="8"/>
        <v>52264.543887359971</v>
      </c>
    </row>
    <row r="17" spans="2:16" hidden="1">
      <c r="B17" s="41">
        <v>11</v>
      </c>
      <c r="C17" s="301">
        <f t="shared" ca="1" si="11"/>
        <v>45</v>
      </c>
      <c r="D17" s="306">
        <f t="shared" ca="1" si="0"/>
        <v>29.159999999999986</v>
      </c>
      <c r="E17" s="306">
        <f t="shared" ca="1" si="1"/>
        <v>157.46399999999988</v>
      </c>
      <c r="F17" s="306">
        <f t="shared" ca="1" si="2"/>
        <v>850.30559999999923</v>
      </c>
      <c r="H17" s="301">
        <f t="shared" ca="1" si="9"/>
        <v>113</v>
      </c>
      <c r="I17" s="306">
        <f t="shared" ca="1" si="3"/>
        <v>94.478400000000249</v>
      </c>
      <c r="J17" s="306">
        <f t="shared" ca="1" si="4"/>
        <v>918.33004800000367</v>
      </c>
      <c r="K17" s="306">
        <f t="shared" ca="1" si="5"/>
        <v>8926.168066560047</v>
      </c>
      <c r="M17" s="301">
        <f t="shared" ca="1" si="10"/>
        <v>-49</v>
      </c>
      <c r="N17" s="306">
        <f t="shared" ca="1" si="6"/>
        <v>94.478399999999837</v>
      </c>
      <c r="O17" s="306">
        <f t="shared" ca="1" si="7"/>
        <v>-918.33004799999765</v>
      </c>
      <c r="P17" s="306">
        <f t="shared" ca="1" si="8"/>
        <v>8926.1680665599688</v>
      </c>
    </row>
    <row r="18" spans="2:16" hidden="1">
      <c r="B18" s="41">
        <v>12</v>
      </c>
      <c r="C18" s="301">
        <f t="shared" ca="1" si="11"/>
        <v>42</v>
      </c>
      <c r="D18" s="306">
        <f t="shared" ca="1" si="0"/>
        <v>5.7599999999999936</v>
      </c>
      <c r="E18" s="306">
        <f t="shared" ca="1" si="1"/>
        <v>13.823999999999977</v>
      </c>
      <c r="F18" s="306">
        <f t="shared" ca="1" si="2"/>
        <v>33.177599999999927</v>
      </c>
      <c r="H18" s="301">
        <f t="shared" ca="1" si="9"/>
        <v>107.60000000000001</v>
      </c>
      <c r="I18" s="306">
        <f t="shared" ca="1" si="3"/>
        <v>18.662400000000186</v>
      </c>
      <c r="J18" s="306">
        <f t="shared" ca="1" si="4"/>
        <v>80.621568000001204</v>
      </c>
      <c r="K18" s="306">
        <f t="shared" ca="1" si="5"/>
        <v>348.28517376000696</v>
      </c>
      <c r="M18" s="301">
        <f t="shared" ca="1" si="10"/>
        <v>-43.600000000000009</v>
      </c>
      <c r="N18" s="306">
        <f t="shared" ca="1" si="6"/>
        <v>18.662400000000002</v>
      </c>
      <c r="O18" s="306">
        <f t="shared" ca="1" si="7"/>
        <v>-80.621568000000011</v>
      </c>
      <c r="P18" s="306">
        <f t="shared" ca="1" si="8"/>
        <v>348.28517376000008</v>
      </c>
    </row>
    <row r="19" spans="2:16" hidden="1">
      <c r="B19" s="41">
        <v>13</v>
      </c>
      <c r="C19" s="301">
        <f t="shared" ca="1" si="11"/>
        <v>49</v>
      </c>
      <c r="D19" s="306">
        <f t="shared" ca="1" si="0"/>
        <v>88.359999999999971</v>
      </c>
      <c r="E19" s="306">
        <f t="shared" ca="1" si="1"/>
        <v>830.58399999999961</v>
      </c>
      <c r="F19" s="306">
        <f t="shared" ca="1" si="2"/>
        <v>7807.4895999999944</v>
      </c>
      <c r="H19" s="301">
        <f t="shared" ca="1" si="9"/>
        <v>120.2</v>
      </c>
      <c r="I19" s="306">
        <f t="shared" ca="1" si="3"/>
        <v>286.28640000000053</v>
      </c>
      <c r="J19" s="306">
        <f t="shared" ca="1" si="4"/>
        <v>4843.9658880000134</v>
      </c>
      <c r="K19" s="306">
        <f t="shared" ca="1" si="5"/>
        <v>81959.9028249603</v>
      </c>
      <c r="M19" s="301">
        <f t="shared" ca="1" si="10"/>
        <v>-56.2</v>
      </c>
      <c r="N19" s="306">
        <f t="shared" ca="1" si="6"/>
        <v>286.28639999999984</v>
      </c>
      <c r="O19" s="306">
        <f t="shared" ca="1" si="7"/>
        <v>-4843.9658879999961</v>
      </c>
      <c r="P19" s="306">
        <f t="shared" ca="1" si="8"/>
        <v>81959.902824959907</v>
      </c>
    </row>
    <row r="20" spans="2:16" hidden="1">
      <c r="B20" s="41">
        <v>14</v>
      </c>
      <c r="C20" s="301">
        <f t="shared" ca="1" si="11"/>
        <v>57</v>
      </c>
      <c r="D20" s="306">
        <f t="shared" ca="1" si="0"/>
        <v>302.75999999999993</v>
      </c>
      <c r="E20" s="306">
        <f t="shared" ca="1" si="1"/>
        <v>5268.0239999999985</v>
      </c>
      <c r="F20" s="306">
        <f t="shared" ca="1" si="2"/>
        <v>91663.617599999954</v>
      </c>
      <c r="H20" s="301">
        <f t="shared" ca="1" si="9"/>
        <v>134.60000000000002</v>
      </c>
      <c r="I20" s="306">
        <f t="shared" ca="1" si="3"/>
        <v>980.94240000000229</v>
      </c>
      <c r="J20" s="306">
        <f t="shared" ca="1" si="4"/>
        <v>30723.115968000107</v>
      </c>
      <c r="K20" s="306">
        <f t="shared" ca="1" si="5"/>
        <v>962247.99211776454</v>
      </c>
      <c r="M20" s="301">
        <f t="shared" ca="1" si="10"/>
        <v>-70.600000000000009</v>
      </c>
      <c r="N20" s="306">
        <f t="shared" ca="1" si="6"/>
        <v>980.94240000000002</v>
      </c>
      <c r="O20" s="306">
        <f t="shared" ca="1" si="7"/>
        <v>-30723.115968000002</v>
      </c>
      <c r="P20" s="306">
        <f t="shared" ca="1" si="8"/>
        <v>962247.99211776</v>
      </c>
    </row>
    <row r="21" spans="2:16" hidden="1">
      <c r="B21" s="41">
        <v>15</v>
      </c>
      <c r="C21" s="301">
        <f t="shared" ca="1" si="11"/>
        <v>57</v>
      </c>
      <c r="D21" s="306">
        <f t="shared" ca="1" si="0"/>
        <v>302.75999999999993</v>
      </c>
      <c r="E21" s="306">
        <f t="shared" ca="1" si="1"/>
        <v>5268.0239999999985</v>
      </c>
      <c r="F21" s="306">
        <f t="shared" ca="1" si="2"/>
        <v>91663.617599999954</v>
      </c>
      <c r="H21" s="301">
        <f t="shared" ca="1" si="9"/>
        <v>134.60000000000002</v>
      </c>
      <c r="I21" s="306">
        <f t="shared" ca="1" si="3"/>
        <v>980.94240000000229</v>
      </c>
      <c r="J21" s="306">
        <f t="shared" ca="1" si="4"/>
        <v>30723.115968000107</v>
      </c>
      <c r="K21" s="306">
        <f t="shared" ca="1" si="5"/>
        <v>962247.99211776454</v>
      </c>
      <c r="M21" s="301">
        <f t="shared" ca="1" si="10"/>
        <v>-70.600000000000009</v>
      </c>
      <c r="N21" s="306">
        <f t="shared" ca="1" si="6"/>
        <v>980.94240000000002</v>
      </c>
      <c r="O21" s="306">
        <f t="shared" ca="1" si="7"/>
        <v>-30723.115968000002</v>
      </c>
      <c r="P21" s="306">
        <f t="shared" ca="1" si="8"/>
        <v>962247.99211776</v>
      </c>
    </row>
    <row r="22" spans="2:16" hidden="1">
      <c r="B22" s="41">
        <v>16</v>
      </c>
      <c r="C22" s="301">
        <f t="shared" ca="1" si="11"/>
        <v>54</v>
      </c>
      <c r="D22" s="306">
        <f t="shared" ca="1" si="0"/>
        <v>207.35999999999996</v>
      </c>
      <c r="E22" s="306">
        <f t="shared" ca="1" si="1"/>
        <v>2985.983999999999</v>
      </c>
      <c r="F22" s="306">
        <f t="shared" ca="1" si="2"/>
        <v>42998.169599999979</v>
      </c>
      <c r="H22" s="301">
        <f t="shared" ca="1" si="9"/>
        <v>129.19999999999999</v>
      </c>
      <c r="I22" s="306">
        <f t="shared" ca="1" si="3"/>
        <v>671.84640000000013</v>
      </c>
      <c r="J22" s="306">
        <f t="shared" ca="1" si="4"/>
        <v>17414.258688000005</v>
      </c>
      <c r="K22" s="306">
        <f t="shared" ca="1" si="5"/>
        <v>451377.58519296016</v>
      </c>
      <c r="M22" s="301">
        <f t="shared" ca="1" si="10"/>
        <v>-65.2</v>
      </c>
      <c r="N22" s="306">
        <f t="shared" ca="1" si="6"/>
        <v>671.84639999999968</v>
      </c>
      <c r="O22" s="306">
        <f t="shared" ca="1" si="7"/>
        <v>-17414.258687999987</v>
      </c>
      <c r="P22" s="306">
        <f t="shared" ca="1" si="8"/>
        <v>451377.58519295958</v>
      </c>
    </row>
    <row r="23" spans="2:16" hidden="1">
      <c r="B23" s="41">
        <v>17</v>
      </c>
      <c r="C23" s="301">
        <f t="shared" ca="1" si="11"/>
        <v>51</v>
      </c>
      <c r="D23" s="306">
        <f t="shared" ca="1" si="0"/>
        <v>129.95999999999998</v>
      </c>
      <c r="E23" s="306">
        <f t="shared" ca="1" si="1"/>
        <v>1481.5439999999996</v>
      </c>
      <c r="F23" s="306">
        <f t="shared" ca="1" si="2"/>
        <v>16889.601599999995</v>
      </c>
      <c r="H23" s="301">
        <f t="shared" ca="1" si="9"/>
        <v>123.8</v>
      </c>
      <c r="I23" s="306">
        <f t="shared" ca="1" si="3"/>
        <v>421.0704000000004</v>
      </c>
      <c r="J23" s="306">
        <f t="shared" ca="1" si="4"/>
        <v>8640.3646080000126</v>
      </c>
      <c r="K23" s="306">
        <f t="shared" ca="1" si="5"/>
        <v>177300.28175616034</v>
      </c>
      <c r="M23" s="301">
        <f t="shared" ca="1" si="10"/>
        <v>-59.8</v>
      </c>
      <c r="N23" s="306">
        <f t="shared" ca="1" si="6"/>
        <v>421.07039999999955</v>
      </c>
      <c r="O23" s="306">
        <f t="shared" ca="1" si="7"/>
        <v>-8640.3646079999853</v>
      </c>
      <c r="P23" s="306">
        <f t="shared" ca="1" si="8"/>
        <v>177300.28175615962</v>
      </c>
    </row>
    <row r="24" spans="2:16" hidden="1">
      <c r="B24" s="41">
        <v>18</v>
      </c>
      <c r="C24" s="301">
        <f t="shared" ca="1" si="11"/>
        <v>46</v>
      </c>
      <c r="D24" s="306">
        <f t="shared" ca="1" si="0"/>
        <v>40.95999999999998</v>
      </c>
      <c r="E24" s="306">
        <f t="shared" ca="1" si="1"/>
        <v>262.14399999999983</v>
      </c>
      <c r="F24" s="306">
        <f t="shared" ca="1" si="2"/>
        <v>1677.7215999999983</v>
      </c>
      <c r="H24" s="301">
        <f t="shared" ca="1" si="9"/>
        <v>114.8</v>
      </c>
      <c r="I24" s="306">
        <f t="shared" ca="1" si="3"/>
        <v>132.71040000000025</v>
      </c>
      <c r="J24" s="306">
        <f t="shared" ca="1" si="4"/>
        <v>1528.8238080000042</v>
      </c>
      <c r="K24" s="306">
        <f t="shared" ca="1" si="5"/>
        <v>17612.050268160066</v>
      </c>
      <c r="M24" s="301">
        <f t="shared" ca="1" si="10"/>
        <v>-50.8</v>
      </c>
      <c r="N24" s="306">
        <f t="shared" ca="1" si="6"/>
        <v>132.71039999999974</v>
      </c>
      <c r="O24" s="306">
        <f t="shared" ca="1" si="7"/>
        <v>-1528.8238079999956</v>
      </c>
      <c r="P24" s="306">
        <f t="shared" ca="1" si="8"/>
        <v>17612.050268159932</v>
      </c>
    </row>
    <row r="25" spans="2:16" hidden="1">
      <c r="B25" s="41">
        <v>19</v>
      </c>
      <c r="C25" s="301">
        <f t="shared" ca="1" si="11"/>
        <v>47</v>
      </c>
      <c r="D25" s="306">
        <f t="shared" ca="1" si="0"/>
        <v>54.759999999999977</v>
      </c>
      <c r="E25" s="306">
        <f t="shared" ca="1" si="1"/>
        <v>405.22399999999976</v>
      </c>
      <c r="F25" s="306">
        <f t="shared" ca="1" si="2"/>
        <v>2998.6575999999973</v>
      </c>
      <c r="H25" s="301">
        <f t="shared" ca="1" si="9"/>
        <v>116.60000000000001</v>
      </c>
      <c r="I25" s="306">
        <f t="shared" ca="1" si="3"/>
        <v>177.42240000000058</v>
      </c>
      <c r="J25" s="306">
        <f t="shared" ca="1" si="4"/>
        <v>2363.2663680000114</v>
      </c>
      <c r="K25" s="306">
        <f t="shared" ca="1" si="5"/>
        <v>31478.708021760205</v>
      </c>
      <c r="M25" s="301">
        <f t="shared" ca="1" si="10"/>
        <v>-52.600000000000009</v>
      </c>
      <c r="N25" s="306">
        <f t="shared" ca="1" si="6"/>
        <v>177.42240000000001</v>
      </c>
      <c r="O25" s="306">
        <f t="shared" ca="1" si="7"/>
        <v>-2363.2663680000001</v>
      </c>
      <c r="P25" s="306">
        <f t="shared" ca="1" si="8"/>
        <v>31478.708021760005</v>
      </c>
    </row>
    <row r="26" spans="2:16" hidden="1">
      <c r="B26" s="41">
        <v>20</v>
      </c>
      <c r="C26" s="301">
        <f t="shared" ca="1" si="11"/>
        <v>49</v>
      </c>
      <c r="D26" s="306">
        <f t="shared" ca="1" si="0"/>
        <v>88.359999999999971</v>
      </c>
      <c r="E26" s="306">
        <f t="shared" ca="1" si="1"/>
        <v>830.58399999999961</v>
      </c>
      <c r="F26" s="306">
        <f t="shared" ca="1" si="2"/>
        <v>7807.4895999999944</v>
      </c>
      <c r="H26" s="301">
        <f t="shared" ca="1" si="9"/>
        <v>120.2</v>
      </c>
      <c r="I26" s="306">
        <f t="shared" ca="1" si="3"/>
        <v>286.28640000000053</v>
      </c>
      <c r="J26" s="306">
        <f t="shared" ca="1" si="4"/>
        <v>4843.9658880000134</v>
      </c>
      <c r="K26" s="306">
        <f t="shared" ca="1" si="5"/>
        <v>81959.9028249603</v>
      </c>
      <c r="M26" s="301">
        <f t="shared" ca="1" si="10"/>
        <v>-56.2</v>
      </c>
      <c r="N26" s="306">
        <f t="shared" ca="1" si="6"/>
        <v>286.28639999999984</v>
      </c>
      <c r="O26" s="306">
        <f t="shared" ca="1" si="7"/>
        <v>-4843.9658879999961</v>
      </c>
      <c r="P26" s="306">
        <f t="shared" ca="1" si="8"/>
        <v>81959.902824959907</v>
      </c>
    </row>
    <row r="27" spans="2:16" hidden="1">
      <c r="B27" s="41">
        <v>21</v>
      </c>
      <c r="C27" s="301">
        <f t="shared" ca="1" si="11"/>
        <v>41</v>
      </c>
      <c r="D27" s="306">
        <f t="shared" ca="1" si="0"/>
        <v>1.959999999999996</v>
      </c>
      <c r="E27" s="306">
        <f t="shared" ca="1" si="1"/>
        <v>2.7439999999999918</v>
      </c>
      <c r="F27" s="306">
        <f t="shared" ca="1" si="2"/>
        <v>3.8415999999999841</v>
      </c>
      <c r="H27" s="301">
        <f t="shared" ca="1" si="9"/>
        <v>105.8</v>
      </c>
      <c r="I27" s="306">
        <f t="shared" ca="1" si="3"/>
        <v>6.350400000000052</v>
      </c>
      <c r="J27" s="306">
        <f t="shared" ca="1" si="4"/>
        <v>16.003008000000197</v>
      </c>
      <c r="K27" s="306">
        <f t="shared" ca="1" si="5"/>
        <v>40.327580160000657</v>
      </c>
      <c r="M27" s="301">
        <f t="shared" ca="1" si="10"/>
        <v>-41.8</v>
      </c>
      <c r="N27" s="306">
        <f t="shared" ca="1" si="6"/>
        <v>6.3503999999999445</v>
      </c>
      <c r="O27" s="306">
        <f t="shared" ca="1" si="7"/>
        <v>-16.003007999999788</v>
      </c>
      <c r="P27" s="306">
        <f t="shared" ca="1" si="8"/>
        <v>40.327580159999293</v>
      </c>
    </row>
    <row r="28" spans="2:16" hidden="1">
      <c r="B28" s="41">
        <v>22</v>
      </c>
      <c r="C28" s="301">
        <f t="shared" ca="1" si="11"/>
        <v>34</v>
      </c>
      <c r="D28" s="306">
        <f t="shared" ca="1" si="0"/>
        <v>31.360000000000017</v>
      </c>
      <c r="E28" s="306">
        <f t="shared" ca="1" si="1"/>
        <v>-175.61600000000013</v>
      </c>
      <c r="F28" s="306">
        <f t="shared" ca="1" si="2"/>
        <v>983.44960000000106</v>
      </c>
      <c r="H28" s="301">
        <f t="shared" ca="1" si="9"/>
        <v>93.2</v>
      </c>
      <c r="I28" s="306">
        <f t="shared" ca="1" si="3"/>
        <v>101.60639999999968</v>
      </c>
      <c r="J28" s="306">
        <f t="shared" ca="1" si="4"/>
        <v>-1024.1925119999951</v>
      </c>
      <c r="K28" s="306">
        <f t="shared" ca="1" si="5"/>
        <v>10323.860520959935</v>
      </c>
      <c r="M28" s="301">
        <f t="shared" ca="1" si="10"/>
        <v>-29.200000000000003</v>
      </c>
      <c r="N28" s="306">
        <f t="shared" ca="1" si="6"/>
        <v>101.60640000000011</v>
      </c>
      <c r="O28" s="306">
        <f t="shared" ca="1" si="7"/>
        <v>1024.1925120000017</v>
      </c>
      <c r="P28" s="306">
        <f t="shared" ca="1" si="8"/>
        <v>10323.860520960021</v>
      </c>
    </row>
    <row r="29" spans="2:16" hidden="1">
      <c r="B29" s="41">
        <v>23</v>
      </c>
      <c r="C29" s="301">
        <f t="shared" ca="1" si="11"/>
        <v>28</v>
      </c>
      <c r="D29" s="306">
        <f t="shared" ca="1" si="0"/>
        <v>134.56000000000003</v>
      </c>
      <c r="E29" s="306">
        <f t="shared" ca="1" si="1"/>
        <v>-1560.8960000000006</v>
      </c>
      <c r="F29" s="306">
        <f t="shared" ca="1" si="2"/>
        <v>18106.393600000007</v>
      </c>
      <c r="H29" s="301">
        <f t="shared" ca="1" si="9"/>
        <v>82.4</v>
      </c>
      <c r="I29" s="306">
        <f t="shared" ca="1" si="3"/>
        <v>435.97439999999921</v>
      </c>
      <c r="J29" s="306">
        <f t="shared" ca="1" si="4"/>
        <v>-9103.1454719999747</v>
      </c>
      <c r="K29" s="306">
        <f t="shared" ca="1" si="5"/>
        <v>190073.67745535931</v>
      </c>
      <c r="M29" s="301">
        <f t="shared" ca="1" si="10"/>
        <v>-18.399999999999999</v>
      </c>
      <c r="N29" s="306">
        <f t="shared" ca="1" si="6"/>
        <v>435.9744000000004</v>
      </c>
      <c r="O29" s="306">
        <f t="shared" ca="1" si="7"/>
        <v>9103.1454720000129</v>
      </c>
      <c r="P29" s="306">
        <f t="shared" ca="1" si="8"/>
        <v>190073.67745536036</v>
      </c>
    </row>
    <row r="30" spans="2:16" hidden="1">
      <c r="B30" s="41">
        <v>24</v>
      </c>
      <c r="C30" s="301">
        <f t="shared" ca="1" si="11"/>
        <v>29</v>
      </c>
      <c r="D30" s="306">
        <f t="shared" ca="1" si="0"/>
        <v>112.36000000000003</v>
      </c>
      <c r="E30" s="306">
        <f t="shared" ca="1" si="1"/>
        <v>-1191.0160000000005</v>
      </c>
      <c r="F30" s="306">
        <f t="shared" ca="1" si="2"/>
        <v>12624.769600000007</v>
      </c>
      <c r="H30" s="301">
        <f t="shared" ca="1" si="9"/>
        <v>84.2</v>
      </c>
      <c r="I30" s="306">
        <f t="shared" ca="1" si="3"/>
        <v>364.04639999999938</v>
      </c>
      <c r="J30" s="306">
        <f t="shared" ca="1" si="4"/>
        <v>-6946.005311999982</v>
      </c>
      <c r="K30" s="306">
        <f t="shared" ca="1" si="5"/>
        <v>132529.78135295954</v>
      </c>
      <c r="M30" s="301">
        <f t="shared" ca="1" si="10"/>
        <v>-20.200000000000003</v>
      </c>
      <c r="N30" s="306">
        <f t="shared" ca="1" si="6"/>
        <v>364.04640000000023</v>
      </c>
      <c r="O30" s="306">
        <f t="shared" ca="1" si="7"/>
        <v>6946.0053120000066</v>
      </c>
      <c r="P30" s="306">
        <f t="shared" ca="1" si="8"/>
        <v>132529.78135296016</v>
      </c>
    </row>
    <row r="31" spans="2:16">
      <c r="B31" s="41">
        <v>25</v>
      </c>
      <c r="C31" s="301">
        <f t="shared" ca="1" si="11"/>
        <v>35</v>
      </c>
      <c r="D31" s="306">
        <f t="shared" ca="1" si="0"/>
        <v>21.160000000000014</v>
      </c>
      <c r="E31" s="306">
        <f t="shared" ca="1" si="1"/>
        <v>-97.336000000000098</v>
      </c>
      <c r="F31" s="306">
        <f t="shared" ca="1" si="2"/>
        <v>447.74560000000059</v>
      </c>
      <c r="H31" s="301">
        <f t="shared" ca="1" si="9"/>
        <v>95</v>
      </c>
      <c r="I31" s="306">
        <f t="shared" ca="1" si="3"/>
        <v>68.558399999999779</v>
      </c>
      <c r="J31" s="306">
        <f t="shared" ca="1" si="4"/>
        <v>-567.66355199999725</v>
      </c>
      <c r="K31" s="306">
        <f t="shared" ca="1" si="5"/>
        <v>4700.2542105599696</v>
      </c>
      <c r="M31" s="301">
        <f t="shared" ca="1" si="10"/>
        <v>-31</v>
      </c>
      <c r="N31" s="306">
        <f t="shared" ca="1" si="6"/>
        <v>68.558400000000134</v>
      </c>
      <c r="O31" s="306">
        <f t="shared" ca="1" si="7"/>
        <v>567.66355200000169</v>
      </c>
      <c r="P31" s="306">
        <f t="shared" ca="1" si="8"/>
        <v>4700.2542105600187</v>
      </c>
    </row>
    <row r="32" spans="2:16">
      <c r="B32" s="41">
        <v>26</v>
      </c>
      <c r="C32" s="301">
        <f t="shared" ca="1" si="11"/>
        <v>27</v>
      </c>
      <c r="D32" s="306">
        <f t="shared" ca="1" si="0"/>
        <v>158.76000000000005</v>
      </c>
      <c r="E32" s="306">
        <f t="shared" ca="1" si="1"/>
        <v>-2000.3760000000009</v>
      </c>
      <c r="F32" s="306">
        <f t="shared" ca="1" si="2"/>
        <v>25204.737600000015</v>
      </c>
      <c r="H32" s="301">
        <f t="shared" ca="1" si="9"/>
        <v>80.599999999999994</v>
      </c>
      <c r="I32" s="306">
        <f t="shared" ca="1" si="3"/>
        <v>514.38239999999962</v>
      </c>
      <c r="J32" s="306">
        <f t="shared" ca="1" si="4"/>
        <v>-11666.192831999988</v>
      </c>
      <c r="K32" s="306">
        <f t="shared" ca="1" si="5"/>
        <v>264589.25342975958</v>
      </c>
      <c r="M32" s="301">
        <f t="shared" ca="1" si="10"/>
        <v>-16.600000000000001</v>
      </c>
      <c r="N32" s="306">
        <f t="shared" ca="1" si="6"/>
        <v>514.3824000000003</v>
      </c>
      <c r="O32" s="306">
        <f t="shared" ca="1" si="7"/>
        <v>11666.19283200001</v>
      </c>
      <c r="P32" s="306">
        <f t="shared" ca="1" si="8"/>
        <v>264589.25342976028</v>
      </c>
    </row>
    <row r="33" spans="2:17">
      <c r="B33" s="41">
        <v>27</v>
      </c>
      <c r="C33" s="301">
        <f t="shared" ca="1" si="11"/>
        <v>28</v>
      </c>
      <c r="D33" s="306">
        <f t="shared" ca="1" si="0"/>
        <v>134.56000000000003</v>
      </c>
      <c r="E33" s="306">
        <f t="shared" ca="1" si="1"/>
        <v>-1560.8960000000006</v>
      </c>
      <c r="F33" s="306">
        <f t="shared" ca="1" si="2"/>
        <v>18106.393600000007</v>
      </c>
      <c r="H33" s="301">
        <f t="shared" ca="1" si="9"/>
        <v>82.4</v>
      </c>
      <c r="I33" s="306">
        <f t="shared" ca="1" si="3"/>
        <v>435.97439999999921</v>
      </c>
      <c r="J33" s="306">
        <f t="shared" ca="1" si="4"/>
        <v>-9103.1454719999747</v>
      </c>
      <c r="K33" s="306">
        <f t="shared" ca="1" si="5"/>
        <v>190073.67745535931</v>
      </c>
      <c r="M33" s="301">
        <f t="shared" ca="1" si="10"/>
        <v>-18.399999999999999</v>
      </c>
      <c r="N33" s="306">
        <f t="shared" ca="1" si="6"/>
        <v>435.9744000000004</v>
      </c>
      <c r="O33" s="306">
        <f t="shared" ca="1" si="7"/>
        <v>9103.1454720000129</v>
      </c>
      <c r="P33" s="306">
        <f t="shared" ca="1" si="8"/>
        <v>190073.67745536036</v>
      </c>
    </row>
    <row r="34" spans="2:17">
      <c r="B34" s="41">
        <v>28</v>
      </c>
      <c r="C34" s="301">
        <f t="shared" ca="1" si="11"/>
        <v>33</v>
      </c>
      <c r="D34" s="306">
        <f t="shared" ca="1" si="0"/>
        <v>43.560000000000016</v>
      </c>
      <c r="E34" s="306">
        <f t="shared" ca="1" si="1"/>
        <v>-287.49600000000015</v>
      </c>
      <c r="F34" s="306">
        <f t="shared" ca="1" si="2"/>
        <v>1897.4736000000014</v>
      </c>
      <c r="H34" s="301">
        <f t="shared" ca="1" si="9"/>
        <v>91.4</v>
      </c>
      <c r="I34" s="306">
        <f t="shared" ca="1" si="3"/>
        <v>141.13439999999954</v>
      </c>
      <c r="J34" s="306">
        <f t="shared" ca="1" si="4"/>
        <v>-1676.6766719999919</v>
      </c>
      <c r="K34" s="306">
        <f t="shared" ca="1" si="5"/>
        <v>19918.918863359871</v>
      </c>
      <c r="M34" s="301">
        <f t="shared" ca="1" si="10"/>
        <v>-27.4</v>
      </c>
      <c r="N34" s="306">
        <f t="shared" ca="1" si="6"/>
        <v>141.13440000000023</v>
      </c>
      <c r="O34" s="306">
        <f t="shared" ca="1" si="7"/>
        <v>1676.6766720000041</v>
      </c>
      <c r="P34" s="306">
        <f t="shared" ca="1" si="8"/>
        <v>19918.918863360064</v>
      </c>
    </row>
    <row r="35" spans="2:17">
      <c r="B35" s="41">
        <v>29</v>
      </c>
      <c r="C35" s="301">
        <f t="shared" ca="1" si="11"/>
        <v>38</v>
      </c>
      <c r="D35" s="306">
        <f t="shared" ca="1" si="0"/>
        <v>2.5600000000000045</v>
      </c>
      <c r="E35" s="306">
        <f t="shared" ca="1" si="1"/>
        <v>-4.0960000000000107</v>
      </c>
      <c r="F35" s="306">
        <f t="shared" ca="1" si="2"/>
        <v>6.5536000000000234</v>
      </c>
      <c r="H35" s="301">
        <f t="shared" ca="1" si="9"/>
        <v>100.4</v>
      </c>
      <c r="I35" s="306">
        <f t="shared" ca="1" si="3"/>
        <v>8.2943999999998912</v>
      </c>
      <c r="J35" s="306">
        <f t="shared" ca="1" si="4"/>
        <v>-23.887871999999533</v>
      </c>
      <c r="K35" s="306">
        <f t="shared" ca="1" si="5"/>
        <v>68.797071359998199</v>
      </c>
      <c r="M35" s="301">
        <f t="shared" ca="1" si="10"/>
        <v>-36.400000000000006</v>
      </c>
      <c r="N35" s="306">
        <f t="shared" ca="1" si="6"/>
        <v>8.2944000000000155</v>
      </c>
      <c r="O35" s="306">
        <f t="shared" ca="1" si="7"/>
        <v>23.887872000000065</v>
      </c>
      <c r="P35" s="306">
        <f t="shared" ca="1" si="8"/>
        <v>68.79707136000026</v>
      </c>
    </row>
    <row r="36" spans="2:17">
      <c r="B36" s="41">
        <v>30</v>
      </c>
      <c r="C36" s="301">
        <f t="shared" ca="1" si="11"/>
        <v>39</v>
      </c>
      <c r="D36" s="306">
        <f t="shared" ca="1" si="0"/>
        <v>0.36000000000000171</v>
      </c>
      <c r="E36" s="306">
        <f t="shared" ca="1" si="1"/>
        <v>-0.21600000000000152</v>
      </c>
      <c r="F36" s="306">
        <f t="shared" ca="1" si="2"/>
        <v>0.12960000000000124</v>
      </c>
      <c r="H36" s="301">
        <f t="shared" ca="1" si="9"/>
        <v>102.2</v>
      </c>
      <c r="I36" s="306">
        <f t="shared" ca="1" si="3"/>
        <v>1.1663999999999657</v>
      </c>
      <c r="J36" s="306">
        <f t="shared" ca="1" si="4"/>
        <v>-1.2597119999999444</v>
      </c>
      <c r="K36" s="306">
        <f t="shared" ca="1" si="5"/>
        <v>1.3604889599999199</v>
      </c>
      <c r="M36" s="301">
        <f t="shared" ca="1" si="10"/>
        <v>-38.200000000000003</v>
      </c>
      <c r="N36" s="306">
        <f t="shared" ca="1" si="6"/>
        <v>1.1664000000000116</v>
      </c>
      <c r="O36" s="306">
        <f t="shared" ca="1" si="7"/>
        <v>1.2597120000000188</v>
      </c>
      <c r="P36" s="306">
        <f t="shared" ca="1" si="8"/>
        <v>1.3604889600000272</v>
      </c>
    </row>
    <row r="38" spans="2:17">
      <c r="C38" s="302" t="s">
        <v>288</v>
      </c>
      <c r="D38" s="41" t="s">
        <v>289</v>
      </c>
      <c r="E38" s="41" t="s">
        <v>290</v>
      </c>
      <c r="F38" s="41" t="s">
        <v>291</v>
      </c>
      <c r="H38" s="302" t="s">
        <v>292</v>
      </c>
      <c r="I38" s="41" t="s">
        <v>293</v>
      </c>
      <c r="J38" s="41" t="s">
        <v>294</v>
      </c>
      <c r="K38" s="41" t="s">
        <v>295</v>
      </c>
      <c r="M38" s="302" t="s">
        <v>296</v>
      </c>
      <c r="N38" s="41" t="s">
        <v>297</v>
      </c>
      <c r="O38" s="41" t="s">
        <v>298</v>
      </c>
      <c r="P38" s="41" t="s">
        <v>299</v>
      </c>
    </row>
    <row r="39" spans="2:17">
      <c r="C39" s="301">
        <f ca="1">SUM(C7:C36)/COUNT(C7:C36)</f>
        <v>39.6</v>
      </c>
      <c r="D39" s="306">
        <f ca="1">SUM(D7:D36)/COUNT(D7:D36)</f>
        <v>88.839999999999989</v>
      </c>
      <c r="E39" s="306">
        <f ca="1">SUM(E7:E36)/COUNT(E7:E36)/(D41^3)</f>
        <v>8.7025767928331305E-2</v>
      </c>
      <c r="F39" s="306">
        <f ca="1">SUM(F7:F36)/COUNT(F7:F36)/(D41^4)</f>
        <v>2.0379588557587809</v>
      </c>
      <c r="H39" s="301">
        <f ca="1">SUM(H7:H36)/COUNT(H7:H36)</f>
        <v>103.27999999999999</v>
      </c>
      <c r="I39" s="306">
        <f ca="1">SUM(I7:I36)/COUNT(I7:I36)</f>
        <v>287.84160000000008</v>
      </c>
      <c r="J39" s="306">
        <f ca="1">SUM(J7:J36)/COUNT(J7:J36)/(I41^3)</f>
        <v>8.7025767928334927E-2</v>
      </c>
      <c r="K39" s="306">
        <f ca="1">SUM(K7:K36)/COUNT(K7:K36)/(I41^4)</f>
        <v>2.0379588557587809</v>
      </c>
      <c r="M39" s="301">
        <f ca="1">SUM(M7:M36)/COUNT(M7:M36)</f>
        <v>-39.280000000000008</v>
      </c>
      <c r="N39" s="306">
        <f ca="1">SUM(N7:N36)/COUNT(N7:N36)</f>
        <v>287.84160000000008</v>
      </c>
      <c r="O39" s="306">
        <f ca="1">SUM(O7:O36)/COUNT(O7:O36)/(N41^3)</f>
        <v>-8.7025767928330763E-2</v>
      </c>
      <c r="P39" s="306">
        <f ca="1">SUM(P7:P36)/COUNT(P7:P36)/(N41^4)</f>
        <v>2.0379588557587796</v>
      </c>
    </row>
    <row r="41" spans="2:17">
      <c r="C41" s="302" t="s">
        <v>300</v>
      </c>
      <c r="D41" s="306">
        <f ca="1">SQRT(D39)</f>
        <v>9.4254973343585426</v>
      </c>
      <c r="H41" s="302" t="s">
        <v>301</v>
      </c>
      <c r="I41" s="306">
        <f ca="1">SQRT(I39)</f>
        <v>16.965895201845381</v>
      </c>
      <c r="M41" s="302" t="s">
        <v>302</v>
      </c>
      <c r="N41" s="306">
        <f ca="1">SQRT(N39)</f>
        <v>16.965895201845381</v>
      </c>
    </row>
    <row r="43" spans="2:17">
      <c r="H43" s="301" t="s">
        <v>303</v>
      </c>
      <c r="M43" s="301" t="s">
        <v>303</v>
      </c>
    </row>
    <row r="44" spans="2:17">
      <c r="H44" s="301" t="s">
        <v>304</v>
      </c>
      <c r="M44" s="301" t="s">
        <v>305</v>
      </c>
    </row>
    <row r="46" spans="2:17">
      <c r="C46" s="307" t="s">
        <v>306</v>
      </c>
      <c r="D46" s="41"/>
      <c r="E46" s="41"/>
      <c r="H46" s="307" t="s">
        <v>307</v>
      </c>
      <c r="I46" s="41"/>
      <c r="J46" s="41"/>
      <c r="K46" s="41"/>
      <c r="L46" s="41"/>
      <c r="M46" s="307" t="s">
        <v>308</v>
      </c>
      <c r="N46" s="41"/>
      <c r="O46" s="41"/>
      <c r="P46" s="41"/>
      <c r="Q46" s="41"/>
    </row>
    <row r="47" spans="2:17">
      <c r="C47" s="302" t="s">
        <v>309</v>
      </c>
      <c r="D47" s="308">
        <f ca="1">1.8^2*D39-I39</f>
        <v>0</v>
      </c>
      <c r="E47" s="41"/>
      <c r="H47" s="302"/>
      <c r="I47" s="41"/>
      <c r="J47" s="41"/>
      <c r="K47" s="41"/>
      <c r="L47" s="41"/>
      <c r="M47" s="302"/>
      <c r="N47" s="41"/>
      <c r="O47" s="41"/>
      <c r="P47" s="41"/>
      <c r="Q47" s="41"/>
    </row>
    <row r="48" spans="2:17">
      <c r="H48" s="307" t="s">
        <v>310</v>
      </c>
      <c r="I48" s="41"/>
      <c r="J48" s="41"/>
      <c r="K48" s="41"/>
      <c r="L48" s="41"/>
      <c r="M48" s="307" t="s">
        <v>311</v>
      </c>
      <c r="N48" s="41"/>
      <c r="O48" s="41"/>
      <c r="P48" s="41"/>
      <c r="Q48" s="41"/>
    </row>
    <row r="49" spans="8:17">
      <c r="H49" s="302"/>
      <c r="I49" s="41"/>
      <c r="J49" s="41"/>
      <c r="K49" s="41"/>
      <c r="L49" s="41"/>
      <c r="M49" s="302"/>
      <c r="N49" s="41"/>
      <c r="O49" s="41"/>
      <c r="P49" s="41"/>
      <c r="Q49" s="41"/>
    </row>
    <row r="50" spans="8:17">
      <c r="H50" s="307" t="s">
        <v>312</v>
      </c>
      <c r="I50" s="41"/>
      <c r="J50" s="41"/>
      <c r="K50" s="41"/>
      <c r="L50" s="41"/>
      <c r="M50" s="307" t="s">
        <v>313</v>
      </c>
      <c r="N50" s="41"/>
      <c r="O50" s="41"/>
      <c r="P50" s="41"/>
      <c r="Q50" s="41"/>
    </row>
    <row r="51" spans="8:17">
      <c r="H51" s="302"/>
      <c r="I51" s="41"/>
      <c r="J51" s="41"/>
      <c r="K51" s="41"/>
      <c r="L51" s="41"/>
      <c r="M51" s="302"/>
      <c r="N51" s="41"/>
      <c r="O51" s="41"/>
      <c r="P51" s="41"/>
      <c r="Q51" s="41"/>
    </row>
    <row r="52" spans="8:17">
      <c r="H52" s="307" t="s">
        <v>314</v>
      </c>
      <c r="I52" s="41"/>
      <c r="J52" s="41"/>
      <c r="K52" s="41"/>
      <c r="L52" s="41"/>
      <c r="M52" s="302"/>
      <c r="N52" s="41"/>
      <c r="O52" s="41"/>
      <c r="P52" s="41"/>
      <c r="Q52" s="4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0008-B18E-408D-BCD7-C4166BB58CF2}">
  <sheetPr codeName="Sheet31"/>
  <dimension ref="B3:AO19"/>
  <sheetViews>
    <sheetView showGridLines="0" zoomScale="90" zoomScaleNormal="90" workbookViewId="0">
      <selection activeCell="H44" sqref="H44"/>
    </sheetView>
  </sheetViews>
  <sheetFormatPr defaultColWidth="9.109375" defaultRowHeight="13.8"/>
  <cols>
    <col min="1" max="1" width="9.109375" style="249"/>
    <col min="2" max="2" width="8.5546875" style="249" customWidth="1"/>
    <col min="3" max="3" width="6.88671875" style="249" customWidth="1"/>
    <col min="4" max="4" width="8.88671875" style="249" customWidth="1"/>
    <col min="5" max="6" width="9.109375" style="249"/>
    <col min="7" max="8" width="10.6640625" style="249" customWidth="1"/>
    <col min="9" max="9" width="9.109375" style="249"/>
    <col min="10" max="10" width="6.44140625" style="249" customWidth="1"/>
    <col min="11" max="11" width="9.109375" style="250"/>
    <col min="12" max="12" width="7.5546875" style="250" customWidth="1"/>
    <col min="13" max="14" width="10.6640625" style="250" customWidth="1"/>
    <col min="15" max="15" width="12.88671875" style="250" customWidth="1"/>
    <col min="16" max="17" width="11.6640625" style="250" customWidth="1"/>
    <col min="18" max="22" width="10.6640625" style="250" customWidth="1"/>
    <col min="23" max="16384" width="9.109375" style="249"/>
  </cols>
  <sheetData>
    <row r="3" spans="2:41">
      <c r="S3" s="251" t="s">
        <v>235</v>
      </c>
      <c r="T3" s="251" t="s">
        <v>11</v>
      </c>
      <c r="U3" s="252" t="s">
        <v>236</v>
      </c>
      <c r="V3" s="249"/>
    </row>
    <row r="4" spans="2:41">
      <c r="B4" s="253" t="s">
        <v>237</v>
      </c>
      <c r="C4" s="253"/>
      <c r="S4" s="254"/>
      <c r="T4" s="254"/>
      <c r="U4" s="252"/>
      <c r="V4" s="249"/>
    </row>
    <row r="5" spans="2:41">
      <c r="B5" s="255">
        <v>4</v>
      </c>
      <c r="C5" s="255"/>
      <c r="D5" s="256"/>
      <c r="S5" s="254"/>
      <c r="T5" s="254"/>
      <c r="U5" s="252"/>
      <c r="V5" s="249"/>
    </row>
    <row r="6" spans="2:41">
      <c r="B6" s="449">
        <v>0.3</v>
      </c>
      <c r="C6" s="449"/>
      <c r="D6" s="449"/>
      <c r="E6" s="252"/>
      <c r="F6" s="257" t="s">
        <v>238</v>
      </c>
      <c r="G6" s="257"/>
      <c r="H6" s="257"/>
      <c r="S6" s="258">
        <v>0</v>
      </c>
      <c r="T6" s="250">
        <f>B9</f>
        <v>-2</v>
      </c>
      <c r="U6" s="250">
        <f>T6-0.5</f>
        <v>-2.5</v>
      </c>
      <c r="V6" s="249">
        <f t="array" ref="V6:V11">FREQUENCY($L$15:$L$16,$U$6:$U$11)</f>
        <v>0</v>
      </c>
    </row>
    <row r="7" spans="2:41">
      <c r="B7" s="259"/>
      <c r="C7" s="259"/>
      <c r="D7" s="252"/>
      <c r="E7" s="252"/>
      <c r="F7" s="257" t="s">
        <v>239</v>
      </c>
      <c r="G7" s="257" t="s">
        <v>240</v>
      </c>
      <c r="H7" s="257" t="s">
        <v>241</v>
      </c>
      <c r="S7" s="258">
        <f>D9</f>
        <v>0.1</v>
      </c>
      <c r="T7" s="250">
        <f>B10</f>
        <v>-1</v>
      </c>
      <c r="U7" s="250">
        <f>U6+1</f>
        <v>-1.5</v>
      </c>
      <c r="V7" s="249">
        <v>0</v>
      </c>
    </row>
    <row r="8" spans="2:41" ht="15.6">
      <c r="B8" s="260" t="s">
        <v>11</v>
      </c>
      <c r="C8" s="260"/>
      <c r="D8" s="260" t="s">
        <v>242</v>
      </c>
      <c r="E8" s="260" t="s">
        <v>243</v>
      </c>
      <c r="F8" s="261" t="s">
        <v>244</v>
      </c>
      <c r="G8" s="261" t="s">
        <v>245</v>
      </c>
      <c r="H8" s="261" t="s">
        <v>246</v>
      </c>
      <c r="S8" s="258">
        <f>S7+D10</f>
        <v>0.30000000000000004</v>
      </c>
      <c r="T8" s="250">
        <f>B11</f>
        <v>0</v>
      </c>
      <c r="U8" s="250">
        <f>U7+1</f>
        <v>-0.5</v>
      </c>
      <c r="V8" s="249">
        <v>0</v>
      </c>
    </row>
    <row r="9" spans="2:41">
      <c r="B9" s="252">
        <v>-2</v>
      </c>
      <c r="C9" s="252">
        <v>3</v>
      </c>
      <c r="D9" s="258">
        <f>C9/$C$14</f>
        <v>0.1</v>
      </c>
      <c r="E9" s="262">
        <f>B9*D9</f>
        <v>-0.2</v>
      </c>
      <c r="F9" s="262">
        <f>$D9*($B9-mu)^2</f>
        <v>0.4</v>
      </c>
      <c r="G9" s="262">
        <f>$D9*($B9-mu)^3</f>
        <v>-0.8</v>
      </c>
      <c r="H9" s="262">
        <f>$D9*($B9-mu)^4</f>
        <v>1.6</v>
      </c>
      <c r="K9" s="250">
        <f>(B9-mu)^2</f>
        <v>4</v>
      </c>
      <c r="L9" s="250">
        <f>D9*K9</f>
        <v>0.4</v>
      </c>
      <c r="O9" s="250">
        <f>B9^4</f>
        <v>16</v>
      </c>
      <c r="P9" s="250">
        <f>O9*D9</f>
        <v>1.6</v>
      </c>
      <c r="S9" s="258">
        <f>S8+D11</f>
        <v>0.70000000000000007</v>
      </c>
      <c r="T9" s="250">
        <f>B12</f>
        <v>1</v>
      </c>
      <c r="U9" s="250">
        <f>U8+1</f>
        <v>0.5</v>
      </c>
      <c r="V9" s="249">
        <v>0</v>
      </c>
    </row>
    <row r="10" spans="2:41">
      <c r="B10" s="252">
        <v>-1</v>
      </c>
      <c r="C10" s="252">
        <v>6</v>
      </c>
      <c r="D10" s="258">
        <f>C10/$C$14</f>
        <v>0.2</v>
      </c>
      <c r="E10" s="262">
        <f>B10*D10</f>
        <v>-0.2</v>
      </c>
      <c r="F10" s="262">
        <f>$D10*($B10-mu)^2</f>
        <v>0.2</v>
      </c>
      <c r="G10" s="262">
        <f>$D10*($B10-mu)^3</f>
        <v>-0.2</v>
      </c>
      <c r="H10" s="262">
        <f>$D10*($B10-mu)^4</f>
        <v>0.2</v>
      </c>
      <c r="K10" s="250">
        <f>(B10-mu)^2</f>
        <v>1</v>
      </c>
      <c r="L10" s="250">
        <f>D10*K10</f>
        <v>0.2</v>
      </c>
      <c r="O10" s="250">
        <f>B10^4</f>
        <v>1</v>
      </c>
      <c r="P10" s="250">
        <f>O10*D10</f>
        <v>0.2</v>
      </c>
      <c r="S10" s="258">
        <f>S9+D12</f>
        <v>0.90000000000000013</v>
      </c>
      <c r="T10" s="250">
        <f>B13</f>
        <v>2</v>
      </c>
      <c r="U10" s="250">
        <f>U9+1</f>
        <v>1.5</v>
      </c>
      <c r="V10" s="249">
        <v>1</v>
      </c>
    </row>
    <row r="11" spans="2:41">
      <c r="B11" s="252">
        <v>0</v>
      </c>
      <c r="C11" s="252">
        <v>12</v>
      </c>
      <c r="D11" s="258">
        <f>C11/$C$14</f>
        <v>0.4</v>
      </c>
      <c r="E11" s="262">
        <f>B11*D11</f>
        <v>0</v>
      </c>
      <c r="F11" s="262">
        <f>$D11*($B11-mu)^2</f>
        <v>0</v>
      </c>
      <c r="G11" s="262">
        <f>$D11*($B11-mu)^3</f>
        <v>0</v>
      </c>
      <c r="H11" s="262">
        <f>$D11*($B11-mu)^4</f>
        <v>0</v>
      </c>
      <c r="K11" s="250">
        <f>(B11-mu)^2</f>
        <v>0</v>
      </c>
      <c r="L11" s="250">
        <f>D11*K11</f>
        <v>0</v>
      </c>
      <c r="O11" s="250">
        <f>B11^4</f>
        <v>0</v>
      </c>
      <c r="P11" s="250">
        <f>O11*D11</f>
        <v>0</v>
      </c>
      <c r="S11" s="258">
        <f>S10+D13</f>
        <v>1.0000000000000002</v>
      </c>
      <c r="T11" s="249"/>
      <c r="U11" s="250">
        <f>U10+1</f>
        <v>2.5</v>
      </c>
      <c r="V11" s="249">
        <v>0</v>
      </c>
    </row>
    <row r="12" spans="2:41">
      <c r="B12" s="252">
        <v>1</v>
      </c>
      <c r="C12" s="252">
        <v>6</v>
      </c>
      <c r="D12" s="258">
        <f>C12/$C$14</f>
        <v>0.2</v>
      </c>
      <c r="E12" s="262">
        <f>B12*D12</f>
        <v>0.2</v>
      </c>
      <c r="F12" s="262">
        <f>$D12*($B12-mu)^2</f>
        <v>0.2</v>
      </c>
      <c r="G12" s="262">
        <f>$D12*($B12-mu)^3</f>
        <v>0.2</v>
      </c>
      <c r="H12" s="262">
        <f>$D12*($B12-mu)^4</f>
        <v>0.2</v>
      </c>
      <c r="K12" s="250">
        <f>(B12-mu)^2</f>
        <v>1</v>
      </c>
      <c r="L12" s="250">
        <f>D12*K12</f>
        <v>0.2</v>
      </c>
      <c r="O12" s="250">
        <f>B12^4</f>
        <v>1</v>
      </c>
      <c r="P12" s="250">
        <f>O12*D12</f>
        <v>0.2</v>
      </c>
      <c r="W12" s="263"/>
      <c r="AO12" s="264"/>
    </row>
    <row r="13" spans="2:41">
      <c r="B13" s="252">
        <v>2</v>
      </c>
      <c r="C13" s="252">
        <v>3</v>
      </c>
      <c r="D13" s="258">
        <f>C13/$C$14</f>
        <v>0.1</v>
      </c>
      <c r="E13" s="262">
        <f>B13*D13</f>
        <v>0.2</v>
      </c>
      <c r="F13" s="262">
        <f>$D13*($B13-mu)^2</f>
        <v>0.4</v>
      </c>
      <c r="G13" s="265">
        <f>$D13*($B13-mu)^3</f>
        <v>0.8</v>
      </c>
      <c r="H13" s="265">
        <f>$D13*($B13-mu)^4</f>
        <v>1.6</v>
      </c>
      <c r="K13" s="250">
        <f>(B13-mu)^2</f>
        <v>4</v>
      </c>
      <c r="L13" s="250">
        <f>D13*K13</f>
        <v>0.4</v>
      </c>
      <c r="O13" s="250">
        <f>B13^4</f>
        <v>16</v>
      </c>
      <c r="P13" s="250">
        <f>O13*D13</f>
        <v>1.6</v>
      </c>
      <c r="S13" s="250" t="s">
        <v>247</v>
      </c>
      <c r="T13" s="266">
        <f>B6</f>
        <v>0.3</v>
      </c>
      <c r="W13" s="263"/>
    </row>
    <row r="14" spans="2:41">
      <c r="B14" s="267" t="s">
        <v>87</v>
      </c>
      <c r="C14" s="448">
        <f t="shared" ref="C14:H14" si="0">SUM(C9:C13)</f>
        <v>30</v>
      </c>
      <c r="D14" s="268">
        <f t="shared" si="0"/>
        <v>1.0000000000000002</v>
      </c>
      <c r="E14" s="269">
        <f t="shared" si="0"/>
        <v>0</v>
      </c>
      <c r="F14" s="270">
        <f t="shared" si="0"/>
        <v>1.2000000000000002</v>
      </c>
      <c r="G14" s="270">
        <f t="shared" si="0"/>
        <v>0</v>
      </c>
      <c r="H14" s="270">
        <f t="shared" si="0"/>
        <v>3.6</v>
      </c>
      <c r="J14" s="252"/>
      <c r="K14" s="252"/>
      <c r="L14" s="271">
        <f>SUM(L9:L13)</f>
        <v>1.2000000000000002</v>
      </c>
      <c r="M14" s="272"/>
      <c r="N14" s="272"/>
      <c r="P14" s="447">
        <f>SUM(P9:P13)</f>
        <v>3.6</v>
      </c>
      <c r="T14" s="250">
        <f>(1-2*T13)/SQRT(4*T13*(1-T13))</f>
        <v>0.43643578047198478</v>
      </c>
    </row>
    <row r="15" spans="2:41">
      <c r="D15" s="250"/>
      <c r="E15" s="250"/>
      <c r="F15" s="273">
        <f>F14</f>
        <v>1.2000000000000002</v>
      </c>
      <c r="G15" s="273">
        <f>G14/L15^3</f>
        <v>0</v>
      </c>
      <c r="H15" s="273">
        <f>H14/F15^2</f>
        <v>2.4999999999999996</v>
      </c>
      <c r="J15" s="252"/>
      <c r="K15" s="274"/>
      <c r="L15" s="275">
        <f>SQRT(L14)</f>
        <v>1.0954451150103324</v>
      </c>
      <c r="M15" s="274"/>
      <c r="N15" s="274"/>
      <c r="P15" s="250">
        <f>P14/1.2^2</f>
        <v>2.5</v>
      </c>
    </row>
    <row r="16" spans="2:41" ht="14.4">
      <c r="F16" s="276" t="s">
        <v>248</v>
      </c>
      <c r="G16" s="276" t="s">
        <v>248</v>
      </c>
      <c r="H16" s="276" t="s">
        <v>248</v>
      </c>
      <c r="J16" s="252"/>
      <c r="K16" s="274"/>
      <c r="L16" s="277"/>
      <c r="M16" s="274"/>
      <c r="N16" s="274"/>
      <c r="T16" s="250">
        <f>40%*4</f>
        <v>1.6</v>
      </c>
    </row>
    <row r="17" spans="6:8">
      <c r="F17" s="254" t="s">
        <v>249</v>
      </c>
      <c r="G17" s="254" t="s">
        <v>250</v>
      </c>
      <c r="H17" s="254" t="s">
        <v>251</v>
      </c>
    </row>
    <row r="19" spans="6:8">
      <c r="F19" s="249">
        <f>SQRT(F14)</f>
        <v>1.0954451150103324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432DA-AFDA-41CB-A9AE-5105E043C8D7}">
  <sheetPr codeName="Sheet32"/>
  <dimension ref="A3:L47"/>
  <sheetViews>
    <sheetView showGridLines="0" zoomScale="90" zoomScaleNormal="90" workbookViewId="0">
      <selection activeCell="I37" sqref="I37"/>
    </sheetView>
  </sheetViews>
  <sheetFormatPr defaultRowHeight="14.4"/>
  <cols>
    <col min="11" max="11" width="10.33203125" customWidth="1"/>
  </cols>
  <sheetData>
    <row r="3" spans="2:12">
      <c r="C3" s="65">
        <f>1/18</f>
        <v>5.5555555555555552E-2</v>
      </c>
    </row>
    <row r="5" spans="2:12">
      <c r="B5" s="431">
        <v>-3</v>
      </c>
      <c r="C5" s="433">
        <f t="shared" ref="C5:C35" si="0">$C$3*B5^2</f>
        <v>0.5</v>
      </c>
      <c r="D5" s="433">
        <f t="shared" ref="D5:D35" si="1">0.5-B5^2/9</f>
        <v>-0.5</v>
      </c>
      <c r="E5" s="446">
        <f t="shared" ref="E5:E35" si="2">B5^3/54+0.5</f>
        <v>0</v>
      </c>
    </row>
    <row r="6" spans="2:12">
      <c r="B6" s="434">
        <f t="shared" ref="B6:B35" si="3">B5+0.2</f>
        <v>-2.8</v>
      </c>
      <c r="C6" s="433">
        <f t="shared" si="0"/>
        <v>0.43555555555555547</v>
      </c>
      <c r="D6" s="433">
        <f t="shared" si="1"/>
        <v>-0.37111111111111095</v>
      </c>
      <c r="E6" s="432">
        <f t="shared" si="2"/>
        <v>9.3481481481481554E-2</v>
      </c>
    </row>
    <row r="7" spans="2:12">
      <c r="B7" s="434">
        <f t="shared" si="3"/>
        <v>-2.5999999999999996</v>
      </c>
      <c r="C7" s="433">
        <f t="shared" si="0"/>
        <v>0.37555555555555542</v>
      </c>
      <c r="D7" s="433">
        <f t="shared" si="1"/>
        <v>-0.25111111111111084</v>
      </c>
      <c r="E7" s="432">
        <f t="shared" si="2"/>
        <v>0.17451851851851863</v>
      </c>
    </row>
    <row r="8" spans="2:12">
      <c r="B8" s="434">
        <f t="shared" si="3"/>
        <v>-2.3999999999999995</v>
      </c>
      <c r="C8" s="433">
        <f t="shared" si="0"/>
        <v>0.31999999999999984</v>
      </c>
      <c r="D8" s="433">
        <f t="shared" si="1"/>
        <v>-0.13999999999999968</v>
      </c>
      <c r="E8" s="432">
        <f t="shared" si="2"/>
        <v>0.24400000000000022</v>
      </c>
      <c r="I8" s="357"/>
    </row>
    <row r="9" spans="2:12">
      <c r="B9" s="434">
        <f t="shared" si="3"/>
        <v>-2.1999999999999993</v>
      </c>
      <c r="C9" s="433">
        <f t="shared" si="0"/>
        <v>0.26888888888888873</v>
      </c>
      <c r="D9" s="433">
        <f t="shared" si="1"/>
        <v>-3.7777777777777466E-2</v>
      </c>
      <c r="E9" s="432">
        <f t="shared" si="2"/>
        <v>0.30281481481481498</v>
      </c>
      <c r="H9" s="445" t="s">
        <v>265</v>
      </c>
      <c r="I9" s="444">
        <v>3</v>
      </c>
      <c r="J9" s="444" t="s">
        <v>404</v>
      </c>
      <c r="K9" s="443">
        <v>4</v>
      </c>
      <c r="L9" s="442">
        <f>K9^2</f>
        <v>16</v>
      </c>
    </row>
    <row r="10" spans="2:12">
      <c r="B10" s="434">
        <f t="shared" si="3"/>
        <v>-1.9999999999999993</v>
      </c>
      <c r="C10" s="433">
        <f t="shared" si="0"/>
        <v>0.22222222222222207</v>
      </c>
      <c r="D10" s="433">
        <f t="shared" si="1"/>
        <v>5.5555555555555858E-2</v>
      </c>
      <c r="E10" s="432">
        <f t="shared" si="2"/>
        <v>0.35185185185185197</v>
      </c>
      <c r="H10" s="441" t="s">
        <v>330</v>
      </c>
      <c r="I10" s="440">
        <v>7</v>
      </c>
      <c r="J10" s="440" t="s">
        <v>403</v>
      </c>
      <c r="K10" s="130">
        <v>5</v>
      </c>
      <c r="L10" s="439">
        <f>K10^2</f>
        <v>25</v>
      </c>
    </row>
    <row r="11" spans="2:12">
      <c r="B11" s="434">
        <f t="shared" si="3"/>
        <v>-1.7999999999999994</v>
      </c>
      <c r="C11" s="433">
        <f t="shared" si="0"/>
        <v>0.17999999999999985</v>
      </c>
      <c r="D11" s="433">
        <f t="shared" si="1"/>
        <v>0.14000000000000029</v>
      </c>
      <c r="E11" s="432">
        <f t="shared" si="2"/>
        <v>0.39200000000000013</v>
      </c>
      <c r="H11" s="441"/>
      <c r="I11" s="440"/>
      <c r="J11" s="440" t="s">
        <v>402</v>
      </c>
      <c r="K11" s="440">
        <v>0.5</v>
      </c>
      <c r="L11" s="439"/>
    </row>
    <row r="12" spans="2:12">
      <c r="B12" s="434">
        <f t="shared" si="3"/>
        <v>-1.5999999999999994</v>
      </c>
      <c r="C12" s="433">
        <f t="shared" si="0"/>
        <v>0.14222222222222211</v>
      </c>
      <c r="D12" s="433">
        <f t="shared" si="1"/>
        <v>0.21555555555555572</v>
      </c>
      <c r="E12" s="432">
        <f t="shared" si="2"/>
        <v>0.42414814814814822</v>
      </c>
      <c r="H12" s="438"/>
      <c r="I12" s="437"/>
      <c r="J12" s="437" t="s">
        <v>401</v>
      </c>
      <c r="K12" s="437">
        <f>K9*K10*K11</f>
        <v>10</v>
      </c>
      <c r="L12" s="436"/>
    </row>
    <row r="13" spans="2:12">
      <c r="B13" s="434">
        <f t="shared" si="3"/>
        <v>-1.3999999999999995</v>
      </c>
      <c r="C13" s="433">
        <f t="shared" si="0"/>
        <v>0.1088888888888888</v>
      </c>
      <c r="D13" s="433">
        <f t="shared" si="1"/>
        <v>0.28222222222222237</v>
      </c>
      <c r="E13" s="432">
        <f t="shared" si="2"/>
        <v>0.44918518518518524</v>
      </c>
      <c r="I13" s="357"/>
    </row>
    <row r="14" spans="2:12">
      <c r="B14" s="434">
        <f t="shared" si="3"/>
        <v>-1.1999999999999995</v>
      </c>
      <c r="C14" s="433">
        <f t="shared" si="0"/>
        <v>7.9999999999999932E-2</v>
      </c>
      <c r="D14" s="433">
        <f t="shared" si="1"/>
        <v>0.34000000000000014</v>
      </c>
      <c r="E14" s="432">
        <f t="shared" si="2"/>
        <v>0.46800000000000003</v>
      </c>
      <c r="I14" s="357"/>
      <c r="J14" s="435" t="s">
        <v>400</v>
      </c>
      <c r="K14" s="313">
        <f>I9^2*L9+I10^2*L10+2*I9*I10*K12</f>
        <v>1789</v>
      </c>
    </row>
    <row r="15" spans="2:12">
      <c r="B15" s="434">
        <f t="shared" si="3"/>
        <v>-0.99999999999999956</v>
      </c>
      <c r="C15" s="433">
        <f t="shared" si="0"/>
        <v>5.5555555555555504E-2</v>
      </c>
      <c r="D15" s="433">
        <f t="shared" si="1"/>
        <v>0.38888888888888901</v>
      </c>
      <c r="E15" s="432">
        <f t="shared" si="2"/>
        <v>0.48148148148148151</v>
      </c>
      <c r="I15" s="357"/>
      <c r="J15" s="435" t="s">
        <v>399</v>
      </c>
      <c r="K15" s="426">
        <f>SQRT(K14)</f>
        <v>42.296571965113202</v>
      </c>
    </row>
    <row r="16" spans="2:12">
      <c r="B16" s="434">
        <f t="shared" si="3"/>
        <v>-0.7999999999999996</v>
      </c>
      <c r="C16" s="433">
        <f t="shared" si="0"/>
        <v>3.5555555555555514E-2</v>
      </c>
      <c r="D16" s="433">
        <f t="shared" si="1"/>
        <v>0.42888888888888899</v>
      </c>
      <c r="E16" s="432">
        <f t="shared" si="2"/>
        <v>0.49051851851851852</v>
      </c>
      <c r="I16" s="357"/>
    </row>
    <row r="17" spans="2:5">
      <c r="B17" s="434">
        <f t="shared" si="3"/>
        <v>-0.59999999999999964</v>
      </c>
      <c r="C17" s="433">
        <f t="shared" si="0"/>
        <v>1.9999999999999976E-2</v>
      </c>
      <c r="D17" s="433">
        <f t="shared" si="1"/>
        <v>0.46000000000000008</v>
      </c>
      <c r="E17" s="432">
        <f t="shared" si="2"/>
        <v>0.496</v>
      </c>
    </row>
    <row r="18" spans="2:5">
      <c r="B18" s="434">
        <f t="shared" si="3"/>
        <v>-0.39999999999999963</v>
      </c>
      <c r="C18" s="433">
        <f t="shared" si="0"/>
        <v>8.8888888888888715E-3</v>
      </c>
      <c r="D18" s="433">
        <f t="shared" si="1"/>
        <v>0.48222222222222227</v>
      </c>
      <c r="E18" s="432">
        <f t="shared" si="2"/>
        <v>0.49881481481481482</v>
      </c>
    </row>
    <row r="19" spans="2:5">
      <c r="B19" s="434">
        <f t="shared" si="3"/>
        <v>-0.19999999999999962</v>
      </c>
      <c r="C19" s="433">
        <f t="shared" si="0"/>
        <v>2.2222222222222135E-3</v>
      </c>
      <c r="D19" s="433">
        <f t="shared" si="1"/>
        <v>0.49555555555555558</v>
      </c>
      <c r="E19" s="432">
        <f t="shared" si="2"/>
        <v>0.49985185185185182</v>
      </c>
    </row>
    <row r="20" spans="2:5">
      <c r="B20" s="434">
        <f t="shared" si="3"/>
        <v>3.8857805861880479E-16</v>
      </c>
      <c r="C20" s="433">
        <f t="shared" si="0"/>
        <v>8.3884948688866262E-33</v>
      </c>
      <c r="D20" s="433">
        <f t="shared" si="1"/>
        <v>0.5</v>
      </c>
      <c r="E20" s="432">
        <f t="shared" si="2"/>
        <v>0.5</v>
      </c>
    </row>
    <row r="21" spans="2:5">
      <c r="B21" s="434">
        <f t="shared" si="3"/>
        <v>0.2000000000000004</v>
      </c>
      <c r="C21" s="433">
        <f t="shared" si="0"/>
        <v>2.2222222222222309E-3</v>
      </c>
      <c r="D21" s="433">
        <f t="shared" si="1"/>
        <v>0.49555555555555553</v>
      </c>
      <c r="E21" s="432">
        <f t="shared" si="2"/>
        <v>0.50014814814814812</v>
      </c>
    </row>
    <row r="22" spans="2:5">
      <c r="B22" s="434">
        <f t="shared" si="3"/>
        <v>0.40000000000000041</v>
      </c>
      <c r="C22" s="433">
        <f t="shared" si="0"/>
        <v>8.8888888888889062E-3</v>
      </c>
      <c r="D22" s="433">
        <f t="shared" si="1"/>
        <v>0.48222222222222216</v>
      </c>
      <c r="E22" s="432">
        <f t="shared" si="2"/>
        <v>0.50118518518518518</v>
      </c>
    </row>
    <row r="23" spans="2:5">
      <c r="B23" s="434">
        <f t="shared" si="3"/>
        <v>0.60000000000000042</v>
      </c>
      <c r="C23" s="433">
        <f t="shared" si="0"/>
        <v>2.0000000000000025E-2</v>
      </c>
      <c r="D23" s="433">
        <f t="shared" si="1"/>
        <v>0.45999999999999996</v>
      </c>
      <c r="E23" s="432">
        <f t="shared" si="2"/>
        <v>0.504</v>
      </c>
    </row>
    <row r="24" spans="2:5">
      <c r="B24" s="434">
        <f t="shared" si="3"/>
        <v>0.80000000000000049</v>
      </c>
      <c r="C24" s="433">
        <f t="shared" si="0"/>
        <v>3.5555555555555597E-2</v>
      </c>
      <c r="D24" s="433">
        <f t="shared" si="1"/>
        <v>0.42888888888888882</v>
      </c>
      <c r="E24" s="432">
        <f t="shared" si="2"/>
        <v>0.50948148148148154</v>
      </c>
    </row>
    <row r="25" spans="2:5">
      <c r="B25" s="434">
        <f t="shared" si="3"/>
        <v>1.0000000000000004</v>
      </c>
      <c r="C25" s="433">
        <f t="shared" si="0"/>
        <v>5.5555555555555601E-2</v>
      </c>
      <c r="D25" s="433">
        <f t="shared" si="1"/>
        <v>0.38888888888888878</v>
      </c>
      <c r="E25" s="432">
        <f t="shared" si="2"/>
        <v>0.51851851851851849</v>
      </c>
    </row>
    <row r="26" spans="2:5">
      <c r="B26" s="434">
        <f t="shared" si="3"/>
        <v>1.2000000000000004</v>
      </c>
      <c r="C26" s="433">
        <f t="shared" si="0"/>
        <v>8.0000000000000057E-2</v>
      </c>
      <c r="D26" s="433">
        <f t="shared" si="1"/>
        <v>0.33999999999999986</v>
      </c>
      <c r="E26" s="432">
        <f t="shared" si="2"/>
        <v>0.53200000000000003</v>
      </c>
    </row>
    <row r="27" spans="2:5">
      <c r="B27" s="434">
        <f t="shared" si="3"/>
        <v>1.4000000000000004</v>
      </c>
      <c r="C27" s="433">
        <f t="shared" si="0"/>
        <v>0.10888888888888894</v>
      </c>
      <c r="D27" s="433">
        <f t="shared" si="1"/>
        <v>0.2822222222222221</v>
      </c>
      <c r="E27" s="432">
        <f t="shared" si="2"/>
        <v>0.55081481481481487</v>
      </c>
    </row>
    <row r="28" spans="2:5">
      <c r="B28" s="434">
        <f t="shared" si="3"/>
        <v>1.6000000000000003</v>
      </c>
      <c r="C28" s="433">
        <f t="shared" si="0"/>
        <v>0.14222222222222228</v>
      </c>
      <c r="D28" s="433">
        <f t="shared" si="1"/>
        <v>0.21555555555555544</v>
      </c>
      <c r="E28" s="432">
        <f t="shared" si="2"/>
        <v>0.57585185185185184</v>
      </c>
    </row>
    <row r="29" spans="2:5">
      <c r="B29" s="434">
        <f t="shared" si="3"/>
        <v>1.8000000000000003</v>
      </c>
      <c r="C29" s="433">
        <f t="shared" si="0"/>
        <v>0.18000000000000005</v>
      </c>
      <c r="D29" s="433">
        <f t="shared" si="1"/>
        <v>0.1399999999999999</v>
      </c>
      <c r="E29" s="432">
        <f t="shared" si="2"/>
        <v>0.6080000000000001</v>
      </c>
    </row>
    <row r="30" spans="2:5">
      <c r="B30" s="434">
        <f t="shared" si="3"/>
        <v>2.0000000000000004</v>
      </c>
      <c r="C30" s="433">
        <f t="shared" si="0"/>
        <v>0.22222222222222232</v>
      </c>
      <c r="D30" s="433">
        <f t="shared" si="1"/>
        <v>5.5555555555555358E-2</v>
      </c>
      <c r="E30" s="432">
        <f t="shared" si="2"/>
        <v>0.64814814814814825</v>
      </c>
    </row>
    <row r="31" spans="2:5">
      <c r="B31" s="434">
        <f t="shared" si="3"/>
        <v>2.2000000000000006</v>
      </c>
      <c r="C31" s="433">
        <f t="shared" si="0"/>
        <v>0.26888888888888901</v>
      </c>
      <c r="D31" s="433">
        <f t="shared" si="1"/>
        <v>-3.7777777777778021E-2</v>
      </c>
      <c r="E31" s="432">
        <f t="shared" si="2"/>
        <v>0.69718518518518535</v>
      </c>
    </row>
    <row r="32" spans="2:5">
      <c r="B32" s="434">
        <f t="shared" si="3"/>
        <v>2.4000000000000008</v>
      </c>
      <c r="C32" s="433">
        <f t="shared" si="0"/>
        <v>0.32000000000000023</v>
      </c>
      <c r="D32" s="433">
        <f t="shared" si="1"/>
        <v>-0.14000000000000046</v>
      </c>
      <c r="E32" s="432">
        <f t="shared" si="2"/>
        <v>0.75600000000000023</v>
      </c>
    </row>
    <row r="33" spans="1:5">
      <c r="B33" s="434">
        <f t="shared" si="3"/>
        <v>2.600000000000001</v>
      </c>
      <c r="C33" s="433">
        <f t="shared" si="0"/>
        <v>0.37555555555555581</v>
      </c>
      <c r="D33" s="433">
        <f t="shared" si="1"/>
        <v>-0.25111111111111173</v>
      </c>
      <c r="E33" s="432">
        <f t="shared" si="2"/>
        <v>0.82548148148148182</v>
      </c>
    </row>
    <row r="34" spans="1:5">
      <c r="B34" s="434">
        <f t="shared" si="3"/>
        <v>2.8000000000000012</v>
      </c>
      <c r="C34" s="433">
        <f t="shared" si="0"/>
        <v>0.43555555555555586</v>
      </c>
      <c r="D34" s="433">
        <f t="shared" si="1"/>
        <v>-0.37111111111111184</v>
      </c>
      <c r="E34" s="432">
        <f t="shared" si="2"/>
        <v>0.90651851851851895</v>
      </c>
    </row>
    <row r="35" spans="1:5">
      <c r="B35" s="434">
        <f t="shared" si="3"/>
        <v>3.0000000000000013</v>
      </c>
      <c r="C35" s="433">
        <f t="shared" si="0"/>
        <v>0.50000000000000033</v>
      </c>
      <c r="D35" s="433">
        <f t="shared" si="1"/>
        <v>-0.50000000000000089</v>
      </c>
      <c r="E35" s="432">
        <f t="shared" si="2"/>
        <v>1.0000000000000004</v>
      </c>
    </row>
    <row r="36" spans="1:5">
      <c r="B36" s="431"/>
    </row>
    <row r="37" spans="1:5">
      <c r="B37" s="431"/>
    </row>
    <row r="38" spans="1:5">
      <c r="B38" s="431"/>
    </row>
    <row r="39" spans="1:5">
      <c r="A39" s="65"/>
      <c r="B39" s="431"/>
    </row>
    <row r="40" spans="1:5">
      <c r="B40" s="431"/>
    </row>
    <row r="41" spans="1:5">
      <c r="B41" s="431"/>
    </row>
    <row r="42" spans="1:5">
      <c r="B42" s="431"/>
    </row>
    <row r="43" spans="1:5">
      <c r="B43" s="431"/>
    </row>
    <row r="44" spans="1:5">
      <c r="B44" s="431"/>
    </row>
    <row r="45" spans="1:5">
      <c r="B45" s="431"/>
    </row>
    <row r="46" spans="1:5">
      <c r="B46" s="431"/>
    </row>
    <row r="47" spans="1:5">
      <c r="B47" s="43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0F9E-F655-47AD-A7CC-0455D8A0C3AD}">
  <sheetPr codeName="Sheet33"/>
  <dimension ref="B6:Y36"/>
  <sheetViews>
    <sheetView showGridLines="0" workbookViewId="0">
      <selection activeCell="T23" sqref="T23"/>
    </sheetView>
  </sheetViews>
  <sheetFormatPr defaultColWidth="9.109375" defaultRowHeight="14.4"/>
  <cols>
    <col min="1" max="1" width="9.109375" style="3"/>
    <col min="2" max="2" width="14" style="3" customWidth="1"/>
    <col min="3" max="3" width="3.6640625" style="3" customWidth="1"/>
    <col min="4" max="4" width="8.5546875" style="3" customWidth="1"/>
    <col min="5" max="7" width="12.6640625" style="3" customWidth="1"/>
    <col min="8" max="8" width="14.109375" style="3" bestFit="1" customWidth="1"/>
    <col min="9" max="16384" width="9.109375" style="3"/>
  </cols>
  <sheetData>
    <row r="6" spans="3:16">
      <c r="C6" s="5"/>
      <c r="D6" s="5"/>
      <c r="E6" s="481" t="s">
        <v>100</v>
      </c>
      <c r="F6" s="481"/>
      <c r="G6" s="481"/>
    </row>
    <row r="7" spans="3:16">
      <c r="C7" s="5"/>
      <c r="D7" s="5"/>
      <c r="E7" s="480">
        <v>1</v>
      </c>
      <c r="F7" s="480">
        <v>3</v>
      </c>
      <c r="G7" s="480">
        <v>5</v>
      </c>
    </row>
    <row r="8" spans="3:16">
      <c r="C8" s="605" t="s">
        <v>11</v>
      </c>
      <c r="D8" s="473">
        <v>2</v>
      </c>
      <c r="E8" s="479">
        <f t="shared" ref="E8:G10" si="0">$H8*E$11</f>
        <v>0.05</v>
      </c>
      <c r="F8" s="478">
        <f t="shared" si="0"/>
        <v>0.15</v>
      </c>
      <c r="G8" s="477">
        <f t="shared" si="0"/>
        <v>0.05</v>
      </c>
      <c r="H8" s="469">
        <v>0.25</v>
      </c>
      <c r="L8" s="3">
        <f>H8*D8</f>
        <v>0.5</v>
      </c>
      <c r="M8" s="3">
        <f>D8^2</f>
        <v>4</v>
      </c>
      <c r="N8" s="3">
        <f>M8*H8</f>
        <v>1</v>
      </c>
      <c r="O8" s="3">
        <f>(D8-$L$11)^2</f>
        <v>25</v>
      </c>
      <c r="P8" s="3">
        <f>O8*H8</f>
        <v>6.25</v>
      </c>
    </row>
    <row r="9" spans="3:16">
      <c r="C9" s="605"/>
      <c r="D9" s="473">
        <v>7</v>
      </c>
      <c r="E9" s="476">
        <f t="shared" si="0"/>
        <v>0.1</v>
      </c>
      <c r="F9" s="475">
        <f t="shared" si="0"/>
        <v>0.3</v>
      </c>
      <c r="G9" s="474">
        <f t="shared" si="0"/>
        <v>0.1</v>
      </c>
      <c r="H9" s="469">
        <v>0.5</v>
      </c>
      <c r="L9" s="3">
        <f>H9*D9</f>
        <v>3.5</v>
      </c>
      <c r="M9" s="3">
        <f>D9^2</f>
        <v>49</v>
      </c>
      <c r="N9" s="3">
        <f>M9*H9</f>
        <v>24.5</v>
      </c>
      <c r="O9" s="3">
        <f>(D9-$L$11)^2</f>
        <v>0</v>
      </c>
      <c r="P9" s="3">
        <f>O9*H9</f>
        <v>0</v>
      </c>
    </row>
    <row r="10" spans="3:16">
      <c r="C10" s="605"/>
      <c r="D10" s="473">
        <v>12</v>
      </c>
      <c r="E10" s="472">
        <f t="shared" si="0"/>
        <v>0.05</v>
      </c>
      <c r="F10" s="471">
        <f t="shared" si="0"/>
        <v>0.15</v>
      </c>
      <c r="G10" s="470">
        <f t="shared" si="0"/>
        <v>0.05</v>
      </c>
      <c r="H10" s="469">
        <v>0.25</v>
      </c>
      <c r="L10" s="3">
        <f>H10*D10</f>
        <v>3</v>
      </c>
      <c r="M10" s="3">
        <f>D10^2</f>
        <v>144</v>
      </c>
      <c r="N10" s="3">
        <f>M10*H10</f>
        <v>36</v>
      </c>
      <c r="O10" s="3">
        <f>(D10-$L$11)^2</f>
        <v>25</v>
      </c>
      <c r="P10" s="3">
        <f>O10*H10</f>
        <v>6.25</v>
      </c>
    </row>
    <row r="11" spans="3:16">
      <c r="C11" s="5"/>
      <c r="D11" s="461"/>
      <c r="E11" s="468">
        <v>0.2</v>
      </c>
      <c r="F11" s="468">
        <v>0.6</v>
      </c>
      <c r="G11" s="468">
        <v>0.2</v>
      </c>
      <c r="H11" s="467">
        <f>SUM(E8:G10)</f>
        <v>1</v>
      </c>
      <c r="L11" s="465">
        <f>SUM(L8:L10)</f>
        <v>7</v>
      </c>
      <c r="M11" s="465"/>
      <c r="N11" s="466">
        <f>SUM(N8:N10)</f>
        <v>61.5</v>
      </c>
      <c r="O11" s="465">
        <f>SUM(O8:O10)</f>
        <v>50</v>
      </c>
      <c r="P11" s="465">
        <f>SUM(P8:P10)</f>
        <v>12.5</v>
      </c>
    </row>
    <row r="12" spans="3:16">
      <c r="L12" s="458" t="s">
        <v>385</v>
      </c>
      <c r="M12" s="458"/>
      <c r="N12" s="458" t="s">
        <v>384</v>
      </c>
      <c r="O12" s="5"/>
    </row>
    <row r="13" spans="3:16">
      <c r="F13" s="461" t="s">
        <v>383</v>
      </c>
      <c r="G13" s="464">
        <f>F8</f>
        <v>0.15</v>
      </c>
      <c r="L13" s="458"/>
      <c r="M13" s="458"/>
      <c r="N13" s="458"/>
      <c r="O13" s="5"/>
    </row>
    <row r="14" spans="3:16">
      <c r="F14" s="461" t="s">
        <v>382</v>
      </c>
      <c r="G14" s="463" t="s">
        <v>381</v>
      </c>
      <c r="H14" s="462"/>
      <c r="L14" s="458"/>
      <c r="M14" s="458"/>
      <c r="N14" s="458"/>
      <c r="O14" s="5"/>
    </row>
    <row r="15" spans="3:16">
      <c r="F15" s="461" t="s">
        <v>380</v>
      </c>
      <c r="G15" s="460" t="s">
        <v>379</v>
      </c>
      <c r="H15" s="459"/>
      <c r="J15" s="450"/>
      <c r="L15" s="458"/>
      <c r="M15" s="458"/>
      <c r="N15" s="458"/>
      <c r="O15" s="5"/>
    </row>
    <row r="16" spans="3:16">
      <c r="L16" s="458"/>
      <c r="M16" s="458"/>
      <c r="N16" s="458"/>
      <c r="O16" s="5"/>
    </row>
    <row r="17" spans="2:25">
      <c r="E17" s="3">
        <f>E7*E11</f>
        <v>0.2</v>
      </c>
      <c r="F17" s="3">
        <f>F7*F11</f>
        <v>1.7999999999999998</v>
      </c>
      <c r="G17" s="3">
        <f>G7*G11</f>
        <v>1</v>
      </c>
      <c r="H17" s="457">
        <f>SUM(E17:G17)</f>
        <v>3</v>
      </c>
      <c r="I17" s="3" t="s">
        <v>410</v>
      </c>
      <c r="M17" s="3" t="s">
        <v>409</v>
      </c>
      <c r="N17" s="5">
        <f>N11-L11^2</f>
        <v>12.5</v>
      </c>
    </row>
    <row r="18" spans="2:25">
      <c r="E18" s="3">
        <f>E7^2</f>
        <v>1</v>
      </c>
      <c r="F18" s="3">
        <f>F7^2</f>
        <v>9</v>
      </c>
      <c r="G18" s="3">
        <f>G7^2</f>
        <v>25</v>
      </c>
      <c r="I18" s="3" t="s">
        <v>408</v>
      </c>
      <c r="M18" s="3" t="s">
        <v>404</v>
      </c>
      <c r="N18" s="3">
        <f>SQRT(N17)</f>
        <v>3.5355339059327378</v>
      </c>
      <c r="U18" s="458" t="s">
        <v>11</v>
      </c>
      <c r="V18" s="458" t="s">
        <v>100</v>
      </c>
    </row>
    <row r="19" spans="2:25">
      <c r="E19" s="3">
        <f>E11*E18</f>
        <v>0.2</v>
      </c>
      <c r="F19" s="3">
        <f>F11*F18</f>
        <v>5.3999999999999995</v>
      </c>
      <c r="G19" s="3">
        <f>G11*G18</f>
        <v>5</v>
      </c>
      <c r="H19" s="457">
        <f>SUM(E19:G19)</f>
        <v>10.6</v>
      </c>
      <c r="I19" s="3" t="s">
        <v>407</v>
      </c>
      <c r="T19" s="450">
        <f>E8</f>
        <v>0.05</v>
      </c>
      <c r="U19" s="3">
        <f>D8</f>
        <v>2</v>
      </c>
      <c r="V19" s="3">
        <f>$E$7</f>
        <v>1</v>
      </c>
      <c r="W19" s="456">
        <f t="shared" ref="W19:W27" si="1">(U19-$U$28)*(V19-$V$28)*T19</f>
        <v>0.5</v>
      </c>
      <c r="X19" s="3">
        <f t="shared" ref="X19:X27" si="2">U19*V19</f>
        <v>2</v>
      </c>
      <c r="Y19" s="3">
        <f t="shared" ref="Y19:Y27" si="3">T19*X19</f>
        <v>0.1</v>
      </c>
    </row>
    <row r="20" spans="2:25">
      <c r="E20" s="3">
        <f>(E7-$H$17)^2</f>
        <v>4</v>
      </c>
      <c r="F20" s="3">
        <f>(F7-$H$17)^2</f>
        <v>0</v>
      </c>
      <c r="G20" s="3">
        <f>(G7-$H$17)^2</f>
        <v>4</v>
      </c>
      <c r="H20" s="3">
        <f>SUM(E20:G20)</f>
        <v>8</v>
      </c>
      <c r="T20" s="450">
        <f>E9</f>
        <v>0.1</v>
      </c>
      <c r="U20" s="3">
        <f>D9</f>
        <v>7</v>
      </c>
      <c r="V20" s="3">
        <f>$E$7</f>
        <v>1</v>
      </c>
      <c r="W20" s="456">
        <f t="shared" si="1"/>
        <v>0</v>
      </c>
      <c r="X20" s="3">
        <f t="shared" si="2"/>
        <v>7</v>
      </c>
      <c r="Y20" s="3">
        <f t="shared" si="3"/>
        <v>0.70000000000000007</v>
      </c>
    </row>
    <row r="21" spans="2:25">
      <c r="E21" s="3">
        <f>E20*E11</f>
        <v>0.8</v>
      </c>
      <c r="F21" s="3">
        <f>F20*F11</f>
        <v>0</v>
      </c>
      <c r="G21" s="3">
        <f>G20*G11</f>
        <v>0.8</v>
      </c>
      <c r="H21" s="457">
        <f>SUM(E21:G21)</f>
        <v>1.6</v>
      </c>
      <c r="I21" s="3" t="s">
        <v>406</v>
      </c>
      <c r="T21" s="450">
        <f>E10</f>
        <v>0.05</v>
      </c>
      <c r="U21" s="3">
        <f>D10</f>
        <v>12</v>
      </c>
      <c r="V21" s="3">
        <f>$E$7</f>
        <v>1</v>
      </c>
      <c r="W21" s="456">
        <f t="shared" si="1"/>
        <v>-0.5</v>
      </c>
      <c r="X21" s="3">
        <f t="shared" si="2"/>
        <v>12</v>
      </c>
      <c r="Y21" s="3">
        <f t="shared" si="3"/>
        <v>0.60000000000000009</v>
      </c>
    </row>
    <row r="22" spans="2:25">
      <c r="H22" s="453">
        <f>H19-H17^2</f>
        <v>1.5999999999999996</v>
      </c>
      <c r="T22" s="450">
        <f>F8</f>
        <v>0.15</v>
      </c>
      <c r="U22" s="3">
        <f t="shared" ref="U22:U27" si="4">U19</f>
        <v>2</v>
      </c>
      <c r="V22" s="3">
        <f>$F$7</f>
        <v>3</v>
      </c>
      <c r="W22" s="456">
        <f t="shared" si="1"/>
        <v>0</v>
      </c>
      <c r="X22" s="3">
        <f t="shared" si="2"/>
        <v>6</v>
      </c>
      <c r="Y22" s="3">
        <f t="shared" si="3"/>
        <v>0.89999999999999991</v>
      </c>
    </row>
    <row r="23" spans="2:25">
      <c r="H23" s="3">
        <f>SQRT(H22)</f>
        <v>1.2649110640673515</v>
      </c>
      <c r="I23" s="3" t="s">
        <v>403</v>
      </c>
      <c r="T23" s="450">
        <v>0.5</v>
      </c>
      <c r="U23" s="3">
        <f t="shared" si="4"/>
        <v>7</v>
      </c>
      <c r="V23" s="3">
        <f>$F$7</f>
        <v>3</v>
      </c>
      <c r="W23" s="456">
        <f t="shared" si="1"/>
        <v>0</v>
      </c>
      <c r="X23" s="3">
        <f t="shared" si="2"/>
        <v>21</v>
      </c>
      <c r="Y23" s="5">
        <f t="shared" si="3"/>
        <v>10.5</v>
      </c>
    </row>
    <row r="24" spans="2:25">
      <c r="T24" s="450">
        <f>F10</f>
        <v>0.15</v>
      </c>
      <c r="U24" s="3">
        <f t="shared" si="4"/>
        <v>12</v>
      </c>
      <c r="V24" s="3">
        <f>$F$7</f>
        <v>3</v>
      </c>
      <c r="W24" s="456">
        <f t="shared" si="1"/>
        <v>0</v>
      </c>
      <c r="X24" s="3">
        <f t="shared" si="2"/>
        <v>36</v>
      </c>
      <c r="Y24" s="3">
        <f t="shared" si="3"/>
        <v>5.3999999999999995</v>
      </c>
    </row>
    <row r="25" spans="2:25">
      <c r="T25" s="450">
        <f>G8</f>
        <v>0.05</v>
      </c>
      <c r="U25" s="3">
        <f t="shared" si="4"/>
        <v>2</v>
      </c>
      <c r="V25" s="3">
        <f>$G$7</f>
        <v>5</v>
      </c>
      <c r="W25" s="456">
        <f t="shared" si="1"/>
        <v>-0.5</v>
      </c>
      <c r="X25" s="3">
        <f t="shared" si="2"/>
        <v>10</v>
      </c>
      <c r="Y25" s="3">
        <f t="shared" si="3"/>
        <v>0.5</v>
      </c>
    </row>
    <row r="26" spans="2:25">
      <c r="T26" s="450">
        <f>G9</f>
        <v>0.1</v>
      </c>
      <c r="U26" s="3">
        <f t="shared" si="4"/>
        <v>7</v>
      </c>
      <c r="V26" s="3">
        <f>$G$7</f>
        <v>5</v>
      </c>
      <c r="W26" s="456">
        <f t="shared" si="1"/>
        <v>0</v>
      </c>
      <c r="X26" s="3">
        <f t="shared" si="2"/>
        <v>35</v>
      </c>
      <c r="Y26" s="3">
        <f t="shared" si="3"/>
        <v>3.5</v>
      </c>
    </row>
    <row r="27" spans="2:25">
      <c r="T27" s="450">
        <f>G10</f>
        <v>0.05</v>
      </c>
      <c r="U27" s="3">
        <f t="shared" si="4"/>
        <v>12</v>
      </c>
      <c r="V27" s="3">
        <f>$G$7</f>
        <v>5</v>
      </c>
      <c r="W27" s="456">
        <f t="shared" si="1"/>
        <v>0.5</v>
      </c>
      <c r="X27" s="3">
        <f t="shared" si="2"/>
        <v>60</v>
      </c>
      <c r="Y27" s="3">
        <f t="shared" si="3"/>
        <v>3</v>
      </c>
    </row>
    <row r="28" spans="2:25">
      <c r="B28" s="3" t="s">
        <v>98</v>
      </c>
      <c r="E28" s="452">
        <f>E8/E$11</f>
        <v>0.25</v>
      </c>
      <c r="F28" s="452"/>
      <c r="G28" s="452">
        <f>G8/G$11</f>
        <v>0.25</v>
      </c>
      <c r="H28" s="454" t="s">
        <v>97</v>
      </c>
      <c r="T28" s="450">
        <f>SUM(T19:T27)</f>
        <v>1.2000000000000002</v>
      </c>
      <c r="U28" s="3">
        <f>L11</f>
        <v>7</v>
      </c>
      <c r="V28" s="453">
        <f>H17</f>
        <v>3</v>
      </c>
      <c r="W28" s="451">
        <f>SUM(W19:W27)</f>
        <v>0</v>
      </c>
      <c r="Y28" s="455">
        <f>SUM(Y19:Y27)</f>
        <v>25.2</v>
      </c>
    </row>
    <row r="29" spans="2:25">
      <c r="B29" s="3" t="s">
        <v>96</v>
      </c>
      <c r="E29" s="452">
        <f>E9/E$11</f>
        <v>0.5</v>
      </c>
      <c r="F29" s="452"/>
      <c r="G29" s="452">
        <f>G9/G$11</f>
        <v>0.5</v>
      </c>
      <c r="H29" s="454" t="s">
        <v>95</v>
      </c>
      <c r="Y29" s="453">
        <f>L11*H17</f>
        <v>21</v>
      </c>
    </row>
    <row r="30" spans="2:25">
      <c r="B30" s="3" t="s">
        <v>94</v>
      </c>
      <c r="E30" s="452">
        <f>E10/E$11</f>
        <v>0.25</v>
      </c>
      <c r="F30" s="452"/>
      <c r="G30" s="452">
        <f>G10/G$11</f>
        <v>0.25</v>
      </c>
      <c r="V30" s="3" t="s">
        <v>405</v>
      </c>
      <c r="W30" s="451">
        <f>W28/(N18*H23)</f>
        <v>0</v>
      </c>
    </row>
    <row r="34" spans="13:13">
      <c r="M34" s="3">
        <f>25%^2</f>
        <v>6.25E-2</v>
      </c>
    </row>
    <row r="36" spans="13:13">
      <c r="M36" s="450">
        <f>20%*35%</f>
        <v>6.9999999999999993E-2</v>
      </c>
    </row>
  </sheetData>
  <mergeCells count="1">
    <mergeCell ref="C8:C10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A02E-43DB-4A6F-98DD-6C224CB67646}">
  <sheetPr codeName="Sheet34"/>
  <dimension ref="K1:R18"/>
  <sheetViews>
    <sheetView showGridLines="0" workbookViewId="0">
      <selection activeCell="G38" sqref="G38"/>
    </sheetView>
  </sheetViews>
  <sheetFormatPr defaultRowHeight="13.2"/>
  <cols>
    <col min="1" max="16384" width="8.88671875" style="482"/>
  </cols>
  <sheetData>
    <row r="1" spans="11:17" ht="14.4">
      <c r="M1" s="488"/>
    </row>
    <row r="2" spans="11:17" ht="14.4">
      <c r="M2" s="488"/>
    </row>
    <row r="3" spans="11:17" ht="14.4">
      <c r="M3" s="488"/>
    </row>
    <row r="4" spans="11:17" ht="14.4">
      <c r="M4" s="488"/>
    </row>
    <row r="13" spans="11:17">
      <c r="K13" s="486">
        <v>0</v>
      </c>
      <c r="L13" s="485">
        <f>L14*2</f>
        <v>8</v>
      </c>
      <c r="M13" s="484">
        <f>1/$L$17*L13</f>
        <v>0.53333333333333333</v>
      </c>
      <c r="N13" s="484">
        <f>K13*M13</f>
        <v>0</v>
      </c>
      <c r="O13" s="484">
        <f>(K13-$N$17)^2*M13</f>
        <v>0.28681481481481486</v>
      </c>
      <c r="P13" s="484">
        <f>K13^2</f>
        <v>0</v>
      </c>
      <c r="Q13" s="484">
        <f>P13*M13</f>
        <v>0</v>
      </c>
    </row>
    <row r="14" spans="11:17">
      <c r="K14" s="486">
        <v>1</v>
      </c>
      <c r="L14" s="485">
        <f>L15*2</f>
        <v>4</v>
      </c>
      <c r="M14" s="484">
        <f>1/$L$17*L14</f>
        <v>0.26666666666666666</v>
      </c>
      <c r="N14" s="484">
        <f>K14*M14</f>
        <v>0.26666666666666666</v>
      </c>
      <c r="O14" s="484">
        <f>(K14-$N$17)^2*M14</f>
        <v>1.8962962962962956E-2</v>
      </c>
      <c r="P14" s="484">
        <f>K14^2</f>
        <v>1</v>
      </c>
      <c r="Q14" s="484">
        <f>P14*M14</f>
        <v>0.26666666666666666</v>
      </c>
    </row>
    <row r="15" spans="11:17">
      <c r="K15" s="486">
        <v>2</v>
      </c>
      <c r="L15" s="485">
        <f>L16*2</f>
        <v>2</v>
      </c>
      <c r="M15" s="484">
        <f>1/$L$17*L15</f>
        <v>0.13333333333333333</v>
      </c>
      <c r="N15" s="484">
        <f>K15*M15</f>
        <v>0.26666666666666666</v>
      </c>
      <c r="O15" s="484">
        <f>(K15-$N$17)^2*M15</f>
        <v>0.21392592592592591</v>
      </c>
      <c r="P15" s="484">
        <f>K15^2</f>
        <v>4</v>
      </c>
      <c r="Q15" s="484">
        <f>P15*M15</f>
        <v>0.53333333333333333</v>
      </c>
    </row>
    <row r="16" spans="11:17">
      <c r="K16" s="486">
        <v>3</v>
      </c>
      <c r="L16" s="487">
        <v>1</v>
      </c>
      <c r="M16" s="484">
        <f>1/$L$17*L16</f>
        <v>6.6666666666666666E-2</v>
      </c>
      <c r="N16" s="484">
        <f>K16*M16</f>
        <v>0.2</v>
      </c>
      <c r="O16" s="484">
        <f>(K16-$N$17)^2*M16</f>
        <v>0.34251851851851844</v>
      </c>
      <c r="P16" s="484">
        <f>K16^2</f>
        <v>9</v>
      </c>
      <c r="Q16" s="484">
        <f>P16*M16</f>
        <v>0.6</v>
      </c>
    </row>
    <row r="17" spans="11:18">
      <c r="K17" s="486"/>
      <c r="L17" s="485">
        <f>SUM(L12:L16)</f>
        <v>15</v>
      </c>
      <c r="M17" s="484">
        <f>SUM(M13:M16)</f>
        <v>1</v>
      </c>
      <c r="N17" s="484">
        <f>SUM(N13:N16)</f>
        <v>0.73333333333333339</v>
      </c>
      <c r="O17" s="484">
        <f>SUM(O13:O16)</f>
        <v>0.86222222222222222</v>
      </c>
      <c r="P17" s="484"/>
      <c r="Q17" s="484">
        <f>SUM(Q13:Q16)</f>
        <v>1.4</v>
      </c>
      <c r="R17" s="484">
        <f>Q17-N17^2</f>
        <v>0.862222222222222</v>
      </c>
    </row>
    <row r="18" spans="11:18">
      <c r="R18" s="483">
        <f>SQRT(R17)</f>
        <v>0.92855921847894118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58A7-20D1-4FDC-A477-CB100BCB2039}">
  <sheetPr codeName="Sheet35"/>
  <dimension ref="A1:R41"/>
  <sheetViews>
    <sheetView showGridLines="0" topLeftCell="A16" zoomScaleNormal="100" zoomScaleSheetLayoutView="1" workbookViewId="0">
      <selection activeCell="L43" sqref="L43"/>
    </sheetView>
  </sheetViews>
  <sheetFormatPr defaultColWidth="12.5546875" defaultRowHeight="14.4"/>
  <cols>
    <col min="1" max="1" width="4.109375" style="489" customWidth="1"/>
    <col min="2" max="2" width="5.33203125" style="489" customWidth="1"/>
    <col min="3" max="3" width="6.6640625" style="489" customWidth="1"/>
    <col min="4" max="4" width="9.44140625" style="489" bestFit="1" customWidth="1"/>
    <col min="5" max="5" width="6.6640625" style="489" customWidth="1"/>
    <col min="6" max="6" width="2.6640625" style="489" customWidth="1"/>
    <col min="7" max="9" width="12.6640625" style="489" customWidth="1"/>
    <col min="10" max="10" width="3" style="489" customWidth="1"/>
    <col min="11" max="11" width="7.109375" style="489" customWidth="1"/>
    <col min="12" max="12" width="8.44140625" style="489" customWidth="1"/>
    <col min="13" max="13" width="8.33203125" style="489" customWidth="1"/>
    <col min="14" max="14" width="8.88671875" style="489" customWidth="1"/>
    <col min="15" max="16384" width="12.5546875" style="489"/>
  </cols>
  <sheetData>
    <row r="1" spans="1:16" s="537" customFormat="1">
      <c r="A1" s="538" t="s">
        <v>425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</row>
    <row r="2" spans="1:16" s="537" customFormat="1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</row>
    <row r="3" spans="1:16" s="537" customFormat="1">
      <c r="A3" s="539" t="s">
        <v>424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</row>
    <row r="4" spans="1:16" s="537" customFormat="1">
      <c r="A4" s="539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</row>
    <row r="5" spans="1:16" s="537" customFormat="1">
      <c r="A5" s="539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</row>
    <row r="18" spans="2:10">
      <c r="G18" s="536" t="s">
        <v>423</v>
      </c>
      <c r="H18" s="535"/>
      <c r="I18" s="535"/>
      <c r="J18" s="511"/>
    </row>
    <row r="19" spans="2:10">
      <c r="C19" s="534" t="s">
        <v>11</v>
      </c>
      <c r="D19" s="534" t="s">
        <v>422</v>
      </c>
      <c r="E19" s="534" t="s">
        <v>421</v>
      </c>
      <c r="F19" s="513"/>
      <c r="G19" s="533">
        <v>2</v>
      </c>
      <c r="H19" s="532">
        <v>3</v>
      </c>
      <c r="I19" s="531">
        <v>4</v>
      </c>
    </row>
    <row r="20" spans="2:10" ht="16.8">
      <c r="C20" s="530"/>
      <c r="D20" s="530"/>
      <c r="E20" s="530"/>
      <c r="F20" s="513"/>
      <c r="G20" s="513" t="s">
        <v>420</v>
      </c>
      <c r="H20" s="513" t="s">
        <v>419</v>
      </c>
      <c r="I20" s="513" t="s">
        <v>418</v>
      </c>
    </row>
    <row r="21" spans="2:10" ht="6.9" customHeight="1">
      <c r="C21" s="530"/>
      <c r="D21" s="530"/>
      <c r="E21" s="530"/>
      <c r="F21" s="513"/>
      <c r="G21" s="513"/>
      <c r="H21" s="511"/>
      <c r="I21" s="511"/>
    </row>
    <row r="22" spans="2:10">
      <c r="C22" s="529">
        <v>-20</v>
      </c>
      <c r="D22" s="528">
        <v>0.1</v>
      </c>
      <c r="E22" s="527">
        <f>C22*$D22</f>
        <v>-2</v>
      </c>
      <c r="F22" s="515"/>
      <c r="G22" s="526">
        <f t="shared" ref="G22:I26" si="0">($C22-mu_X)^G$19*Prob</f>
        <v>50.85025000000001</v>
      </c>
      <c r="H22" s="526">
        <f t="shared" si="0"/>
        <v>-1146.6731375000002</v>
      </c>
      <c r="I22" s="526">
        <f t="shared" si="0"/>
        <v>25857.479250625009</v>
      </c>
    </row>
    <row r="23" spans="2:10">
      <c r="C23" s="529">
        <v>-8</v>
      </c>
      <c r="D23" s="528">
        <v>0.15</v>
      </c>
      <c r="E23" s="527">
        <f>C23*$D23</f>
        <v>-1.2</v>
      </c>
      <c r="F23" s="515"/>
      <c r="G23" s="526">
        <f t="shared" si="0"/>
        <v>16.695375000000002</v>
      </c>
      <c r="H23" s="526">
        <f t="shared" si="0"/>
        <v>-176.13620625000001</v>
      </c>
      <c r="I23" s="526">
        <f t="shared" si="0"/>
        <v>1858.2369759375001</v>
      </c>
    </row>
    <row r="24" spans="2:10">
      <c r="C24" s="529">
        <v>5</v>
      </c>
      <c r="D24" s="528">
        <v>0.45</v>
      </c>
      <c r="E24" s="527">
        <f>C24*$D24</f>
        <v>2.25</v>
      </c>
      <c r="F24" s="515"/>
      <c r="G24" s="526">
        <f t="shared" si="0"/>
        <v>2.7011250000000007</v>
      </c>
      <c r="H24" s="526">
        <f t="shared" si="0"/>
        <v>6.617756250000002</v>
      </c>
      <c r="I24" s="526">
        <f t="shared" si="0"/>
        <v>16.213502812500007</v>
      </c>
    </row>
    <row r="25" spans="2:10">
      <c r="C25" s="529">
        <v>10</v>
      </c>
      <c r="D25" s="528">
        <v>0.25</v>
      </c>
      <c r="E25" s="527">
        <f>C25*$D25</f>
        <v>2.5</v>
      </c>
      <c r="F25" s="515"/>
      <c r="G25" s="526">
        <f t="shared" si="0"/>
        <v>13.875625000000001</v>
      </c>
      <c r="H25" s="526">
        <f t="shared" si="0"/>
        <v>103.37340625000002</v>
      </c>
      <c r="I25" s="526">
        <f t="shared" si="0"/>
        <v>770.13187656250011</v>
      </c>
    </row>
    <row r="26" spans="2:10">
      <c r="C26" s="525">
        <v>20</v>
      </c>
      <c r="D26" s="524">
        <v>0.05</v>
      </c>
      <c r="E26" s="523">
        <f>C26*$D26</f>
        <v>1</v>
      </c>
      <c r="F26" s="522"/>
      <c r="G26" s="521">
        <f t="shared" si="0"/>
        <v>15.225125</v>
      </c>
      <c r="H26" s="521">
        <f t="shared" si="0"/>
        <v>265.67843125000002</v>
      </c>
      <c r="I26" s="521">
        <f t="shared" si="0"/>
        <v>4636.0886253125</v>
      </c>
    </row>
    <row r="27" spans="2:10">
      <c r="C27" s="520" t="s">
        <v>87</v>
      </c>
      <c r="D27" s="519"/>
      <c r="E27" s="518">
        <f>SUM(E22:E26)</f>
        <v>2.5499999999999998</v>
      </c>
      <c r="F27" s="517"/>
      <c r="G27" s="516">
        <f>SUM(G22:G26)</f>
        <v>99.347500000000025</v>
      </c>
      <c r="H27" s="516">
        <f>SUM(H22:H26)</f>
        <v>-947.13975000000016</v>
      </c>
      <c r="I27" s="516">
        <f>SUM(I22:I26)</f>
        <v>33138.150231250009</v>
      </c>
    </row>
    <row r="28" spans="2:10">
      <c r="B28" s="511"/>
      <c r="E28" s="515"/>
      <c r="F28" s="515"/>
      <c r="G28" s="515"/>
      <c r="H28" s="515"/>
      <c r="I28" s="515"/>
    </row>
    <row r="29" spans="2:10">
      <c r="B29" s="511"/>
      <c r="E29" s="515"/>
      <c r="F29" s="515"/>
      <c r="G29" s="515"/>
      <c r="H29" s="515"/>
      <c r="I29" s="515"/>
    </row>
    <row r="30" spans="2:10">
      <c r="B30" s="511"/>
      <c r="E30" s="515"/>
      <c r="F30" s="515"/>
      <c r="G30" s="515"/>
      <c r="H30" s="515"/>
      <c r="I30" s="515"/>
    </row>
    <row r="31" spans="2:10">
      <c r="B31" s="511"/>
      <c r="E31" s="515"/>
      <c r="F31" s="515"/>
      <c r="G31" s="515"/>
      <c r="H31" s="515"/>
      <c r="I31" s="515"/>
    </row>
    <row r="32" spans="2:10">
      <c r="B32" s="511"/>
      <c r="E32" s="514"/>
      <c r="F32" s="514"/>
      <c r="G32" s="490"/>
      <c r="H32" s="490"/>
      <c r="I32" s="490"/>
    </row>
    <row r="33" spans="2:18" s="511" customFormat="1">
      <c r="B33" s="513" t="s">
        <v>417</v>
      </c>
      <c r="C33" s="491">
        <f>AVERAGE(C22:C26)</f>
        <v>1.4</v>
      </c>
      <c r="D33" s="512"/>
      <c r="E33" s="512"/>
      <c r="F33" s="512"/>
      <c r="G33" s="512"/>
      <c r="H33" s="512"/>
      <c r="I33" s="512"/>
    </row>
    <row r="34" spans="2:18">
      <c r="B34" s="510" t="s">
        <v>87</v>
      </c>
      <c r="C34" s="490"/>
      <c r="D34" s="491"/>
      <c r="E34" s="491">
        <f>SUM(E22:E26)</f>
        <v>2.5499999999999998</v>
      </c>
      <c r="F34" s="490"/>
      <c r="G34" s="507">
        <f>SUM(G22:G26)</f>
        <v>99.347500000000025</v>
      </c>
      <c r="H34" s="507">
        <f>SUM(H22:H26)</f>
        <v>-947.13975000000016</v>
      </c>
      <c r="I34" s="507">
        <f>SUM(I22:I26)</f>
        <v>33138.150231250009</v>
      </c>
      <c r="N34" s="509" t="s">
        <v>416</v>
      </c>
      <c r="O34" s="509"/>
      <c r="P34" s="509"/>
      <c r="Q34" s="509"/>
      <c r="R34" s="509"/>
    </row>
    <row r="35" spans="2:18">
      <c r="B35" s="491" t="s">
        <v>415</v>
      </c>
      <c r="C35" s="491"/>
      <c r="D35" s="491"/>
      <c r="E35" s="491"/>
      <c r="F35" s="508"/>
      <c r="G35" s="507">
        <f>SQRT(G34)</f>
        <v>9.9673216061287011</v>
      </c>
      <c r="H35" s="506"/>
      <c r="I35" s="506"/>
      <c r="J35" s="505"/>
      <c r="L35" s="490"/>
      <c r="M35" s="490"/>
      <c r="N35" s="351"/>
      <c r="O35" s="351"/>
      <c r="P35" s="351"/>
      <c r="Q35" s="351"/>
      <c r="R35" s="351"/>
    </row>
    <row r="36" spans="2:18">
      <c r="B36" s="491" t="s">
        <v>414</v>
      </c>
      <c r="C36" s="491"/>
      <c r="D36" s="491"/>
      <c r="E36" s="491"/>
      <c r="F36" s="491"/>
      <c r="G36" s="504" t="s">
        <v>413</v>
      </c>
      <c r="H36" s="503">
        <f>H34/G35^H19</f>
        <v>-0.9564860696363694</v>
      </c>
      <c r="I36" s="490"/>
      <c r="L36" s="490"/>
      <c r="M36" s="490"/>
      <c r="N36" s="351"/>
      <c r="O36" s="351"/>
      <c r="P36" s="502" t="s">
        <v>11</v>
      </c>
      <c r="Q36" s="502"/>
      <c r="R36" s="351"/>
    </row>
    <row r="37" spans="2:18">
      <c r="B37" s="491" t="s">
        <v>412</v>
      </c>
      <c r="C37" s="491"/>
      <c r="D37" s="491"/>
      <c r="E37" s="491"/>
      <c r="F37" s="491"/>
      <c r="G37" s="491"/>
      <c r="H37" s="501" t="s">
        <v>411</v>
      </c>
      <c r="I37" s="500">
        <f>I34/G34^2</f>
        <v>3.3574872850756448</v>
      </c>
      <c r="L37" s="490"/>
      <c r="M37" s="490"/>
      <c r="N37" s="351"/>
      <c r="O37" s="499"/>
      <c r="P37" s="498">
        <v>4</v>
      </c>
      <c r="Q37" s="498">
        <v>9</v>
      </c>
      <c r="R37" s="351"/>
    </row>
    <row r="38" spans="2:18">
      <c r="B38" s="491"/>
      <c r="C38" s="491"/>
      <c r="D38" s="491"/>
      <c r="E38" s="491"/>
      <c r="F38" s="491"/>
      <c r="G38" s="491"/>
      <c r="H38" s="490"/>
      <c r="I38" s="490"/>
      <c r="L38" s="490"/>
      <c r="M38" s="490"/>
      <c r="N38" s="606" t="s">
        <v>100</v>
      </c>
      <c r="O38" s="495">
        <v>3</v>
      </c>
      <c r="P38" s="497">
        <v>0.3</v>
      </c>
      <c r="Q38" s="496">
        <v>0.2</v>
      </c>
      <c r="R38" s="353">
        <f>P38+Q38</f>
        <v>0.5</v>
      </c>
    </row>
    <row r="39" spans="2:18">
      <c r="B39" s="491"/>
      <c r="C39" s="491"/>
      <c r="D39" s="491"/>
      <c r="E39" s="491"/>
      <c r="F39" s="491"/>
      <c r="G39" s="491"/>
      <c r="H39" s="490"/>
      <c r="I39" s="490"/>
      <c r="L39" s="490"/>
      <c r="M39" s="490"/>
      <c r="N39" s="607"/>
      <c r="O39" s="495">
        <v>5</v>
      </c>
      <c r="P39" s="494">
        <v>0.15</v>
      </c>
      <c r="Q39" s="493">
        <f>100%-P38-Q38-P39</f>
        <v>0.35</v>
      </c>
      <c r="R39" s="353">
        <f>P39+Q39</f>
        <v>0.5</v>
      </c>
    </row>
    <row r="40" spans="2:18">
      <c r="B40" s="491"/>
      <c r="C40" s="491"/>
      <c r="D40" s="491"/>
      <c r="E40" s="491"/>
      <c r="F40" s="491"/>
      <c r="G40" s="491"/>
      <c r="H40" s="490"/>
      <c r="I40" s="490"/>
      <c r="L40" s="490"/>
      <c r="M40" s="490"/>
      <c r="N40" s="351"/>
      <c r="O40" s="351"/>
      <c r="P40" s="492">
        <f>P38+P39</f>
        <v>0.44999999999999996</v>
      </c>
      <c r="Q40" s="492">
        <f>Q38+Q39</f>
        <v>0.55000000000000004</v>
      </c>
      <c r="R40" s="353">
        <f>R38+R39</f>
        <v>1</v>
      </c>
    </row>
    <row r="41" spans="2:18">
      <c r="B41" s="491"/>
      <c r="C41" s="491"/>
      <c r="D41" s="491"/>
      <c r="E41" s="491"/>
      <c r="F41" s="491"/>
      <c r="G41" s="491"/>
      <c r="H41" s="490"/>
      <c r="I41" s="490"/>
      <c r="L41" s="490"/>
      <c r="M41" s="490"/>
      <c r="O41" s="490"/>
      <c r="P41" s="490"/>
    </row>
  </sheetData>
  <mergeCells count="1">
    <mergeCell ref="N38:N39"/>
  </mergeCells>
  <hyperlinks>
    <hyperlink ref="A3" r:id="rId1" xr:uid="{4A31F02A-B164-4AAA-8393-5C4A19A58F5F}"/>
  </hyperlinks>
  <pageMargins left="1" right="1" top="0.57361111111111107" bottom="0.57361111111111107" header="0" footer="0"/>
  <pageSetup firstPageNumber="4294967295" orientation="portrait" cellComments="asDisplayed" r:id="rId2"/>
  <headerFooter alignWithMargins="0">
    <oddHeader>&amp;L&amp;C&amp;R</oddHeader>
    <oddFooter>&amp;L&amp;C&amp;R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1590-1D0B-47BA-B734-3DC8C96AC291}">
  <sheetPr codeName="Sheet36"/>
  <dimension ref="A1:E30"/>
  <sheetViews>
    <sheetView showGridLines="0" workbookViewId="0">
      <selection activeCell="R27" sqref="R27"/>
    </sheetView>
  </sheetViews>
  <sheetFormatPr defaultColWidth="9.109375" defaultRowHeight="14.4"/>
  <cols>
    <col min="1" max="16384" width="9.109375" style="318"/>
  </cols>
  <sheetData>
    <row r="1" spans="1:5" s="317" customFormat="1">
      <c r="A1" s="316" t="s">
        <v>315</v>
      </c>
    </row>
    <row r="2" spans="1:5" s="317" customFormat="1"/>
    <row r="5" spans="1:5">
      <c r="B5" s="319" t="s">
        <v>316</v>
      </c>
      <c r="C5" s="320">
        <v>10</v>
      </c>
      <c r="D5" s="320">
        <v>50</v>
      </c>
      <c r="E5" s="320">
        <v>100</v>
      </c>
    </row>
    <row r="6" spans="1:5">
      <c r="B6" s="319" t="s">
        <v>247</v>
      </c>
      <c r="C6" s="321">
        <v>0.1</v>
      </c>
      <c r="D6" s="321">
        <f>$C$6</f>
        <v>0.1</v>
      </c>
      <c r="E6" s="321">
        <f>$C$6</f>
        <v>0.1</v>
      </c>
    </row>
    <row r="8" spans="1:5">
      <c r="B8" s="319" t="s">
        <v>11</v>
      </c>
      <c r="C8" s="319" t="str">
        <f>"N = "&amp;C5</f>
        <v>N = 10</v>
      </c>
      <c r="D8" s="319" t="str">
        <f t="shared" ref="D8:E8" si="0">"N = "&amp;D5</f>
        <v>N = 50</v>
      </c>
      <c r="E8" s="319" t="str">
        <f t="shared" si="0"/>
        <v>N = 100</v>
      </c>
    </row>
    <row r="9" spans="1:5">
      <c r="B9" s="318">
        <v>0</v>
      </c>
      <c r="C9" s="322">
        <f>_xlfn.BINOM.DIST($B9,C$5,C$6,FALSE)</f>
        <v>0.34867844009999993</v>
      </c>
      <c r="D9" s="322">
        <f t="shared" ref="D9:E9" si="1">_xlfn.BINOM.DIST($B9,D$5,D$6,FALSE)</f>
        <v>5.1537752073201135E-3</v>
      </c>
      <c r="E9" s="322">
        <f t="shared" si="1"/>
        <v>2.6561398887587476E-5</v>
      </c>
    </row>
    <row r="10" spans="1:5">
      <c r="B10" s="318">
        <f t="shared" ref="B10:B29" si="2">B9+1</f>
        <v>1</v>
      </c>
      <c r="C10" s="322">
        <f t="shared" ref="C10:E29" si="3">_xlfn.BINOM.DIST($B10,C$5,C$6,FALSE)</f>
        <v>0.38742048899999998</v>
      </c>
      <c r="D10" s="322">
        <f t="shared" si="3"/>
        <v>2.8632084485111769E-2</v>
      </c>
      <c r="E10" s="322">
        <f t="shared" si="3"/>
        <v>2.9512665430652773E-4</v>
      </c>
    </row>
    <row r="11" spans="1:5">
      <c r="B11" s="318">
        <f t="shared" si="2"/>
        <v>2</v>
      </c>
      <c r="C11" s="322">
        <f t="shared" si="3"/>
        <v>0.19371024450000005</v>
      </c>
      <c r="D11" s="322">
        <f t="shared" si="3"/>
        <v>7.7942896653915308E-2</v>
      </c>
      <c r="E11" s="322">
        <f t="shared" si="3"/>
        <v>1.6231965986859046E-3</v>
      </c>
    </row>
    <row r="12" spans="1:5">
      <c r="B12" s="318">
        <f t="shared" si="2"/>
        <v>3</v>
      </c>
      <c r="C12" s="322">
        <f t="shared" si="3"/>
        <v>5.739562799999999E-2</v>
      </c>
      <c r="D12" s="322">
        <f t="shared" si="3"/>
        <v>0.13856514960696051</v>
      </c>
      <c r="E12" s="322">
        <f t="shared" si="3"/>
        <v>5.8916024693043889E-3</v>
      </c>
    </row>
    <row r="13" spans="1:5">
      <c r="B13" s="318">
        <f t="shared" si="2"/>
        <v>4</v>
      </c>
      <c r="C13" s="322">
        <f t="shared" si="3"/>
        <v>1.1160261000000003E-2</v>
      </c>
      <c r="D13" s="322">
        <f t="shared" si="3"/>
        <v>0.18090450087575405</v>
      </c>
      <c r="E13" s="322">
        <f t="shared" si="3"/>
        <v>1.5874595542292376E-2</v>
      </c>
    </row>
    <row r="14" spans="1:5">
      <c r="B14" s="318">
        <f t="shared" si="2"/>
        <v>5</v>
      </c>
      <c r="C14" s="322">
        <f t="shared" si="3"/>
        <v>1.4880348000000001E-3</v>
      </c>
      <c r="D14" s="322">
        <f t="shared" si="3"/>
        <v>0.18492460089521523</v>
      </c>
      <c r="E14" s="322">
        <f t="shared" si="3"/>
        <v>3.3865803823557049E-2</v>
      </c>
    </row>
    <row r="15" spans="1:5">
      <c r="B15" s="318">
        <f t="shared" si="2"/>
        <v>6</v>
      </c>
      <c r="C15" s="322">
        <f t="shared" si="3"/>
        <v>1.3778099999999988E-4</v>
      </c>
      <c r="D15" s="322">
        <f t="shared" si="3"/>
        <v>0.15410383407934602</v>
      </c>
      <c r="E15" s="322">
        <f t="shared" si="3"/>
        <v>5.9578728948850357E-2</v>
      </c>
    </row>
    <row r="16" spans="1:5">
      <c r="B16" s="318">
        <f t="shared" si="2"/>
        <v>7</v>
      </c>
      <c r="C16" s="322">
        <f t="shared" si="3"/>
        <v>8.7480000000000084E-6</v>
      </c>
      <c r="D16" s="322">
        <f t="shared" si="3"/>
        <v>0.10762807459509882</v>
      </c>
      <c r="E16" s="322">
        <f t="shared" si="3"/>
        <v>8.889524636812593E-2</v>
      </c>
    </row>
    <row r="17" spans="2:5">
      <c r="B17" s="318">
        <f t="shared" si="2"/>
        <v>8</v>
      </c>
      <c r="C17" s="322">
        <f t="shared" si="3"/>
        <v>3.6450000000000065E-7</v>
      </c>
      <c r="D17" s="322">
        <f t="shared" si="3"/>
        <v>6.427787788318394E-2</v>
      </c>
      <c r="E17" s="322">
        <f t="shared" si="3"/>
        <v>0.11482302655882935</v>
      </c>
    </row>
    <row r="18" spans="2:5">
      <c r="B18" s="318">
        <f t="shared" si="2"/>
        <v>9</v>
      </c>
      <c r="C18" s="322">
        <f t="shared" si="3"/>
        <v>8.9999999999999962E-9</v>
      </c>
      <c r="D18" s="322">
        <f t="shared" si="3"/>
        <v>3.3329270013502811E-2</v>
      </c>
      <c r="E18" s="322">
        <f t="shared" si="3"/>
        <v>0.1304162770791642</v>
      </c>
    </row>
    <row r="19" spans="2:5">
      <c r="B19" s="318">
        <f t="shared" si="2"/>
        <v>10</v>
      </c>
      <c r="C19" s="322">
        <f t="shared" si="3"/>
        <v>1.0000000000000031E-10</v>
      </c>
      <c r="D19" s="322">
        <f t="shared" si="3"/>
        <v>1.5183334117262394E-2</v>
      </c>
      <c r="E19" s="322">
        <f t="shared" si="3"/>
        <v>0.13186534682448822</v>
      </c>
    </row>
    <row r="20" spans="2:5">
      <c r="B20" s="318">
        <f t="shared" si="2"/>
        <v>11</v>
      </c>
      <c r="C20" s="322"/>
      <c r="D20" s="322">
        <f t="shared" si="3"/>
        <v>6.1346804514191451E-3</v>
      </c>
      <c r="E20" s="322">
        <f t="shared" si="3"/>
        <v>0.11987758802226202</v>
      </c>
    </row>
    <row r="21" spans="2:5">
      <c r="B21" s="318">
        <f t="shared" si="2"/>
        <v>12</v>
      </c>
      <c r="C21" s="322"/>
      <c r="D21" s="322">
        <f t="shared" si="3"/>
        <v>2.2153012741235817E-3</v>
      </c>
      <c r="E21" s="322">
        <f t="shared" si="3"/>
        <v>9.8788012351678889E-2</v>
      </c>
    </row>
    <row r="22" spans="2:5">
      <c r="B22" s="318">
        <f t="shared" si="2"/>
        <v>13</v>
      </c>
      <c r="C22" s="322"/>
      <c r="D22" s="322">
        <f t="shared" si="3"/>
        <v>7.1949955911706056E-4</v>
      </c>
      <c r="E22" s="322">
        <f t="shared" si="3"/>
        <v>7.4302094760237067E-2</v>
      </c>
    </row>
    <row r="23" spans="2:5">
      <c r="B23" s="318">
        <f t="shared" si="2"/>
        <v>14</v>
      </c>
      <c r="C23" s="322"/>
      <c r="D23" s="322">
        <f t="shared" si="3"/>
        <v>2.1128161656612144E-4</v>
      </c>
      <c r="E23" s="322">
        <f t="shared" si="3"/>
        <v>5.1303827334449464E-2</v>
      </c>
    </row>
    <row r="24" spans="2:5">
      <c r="B24" s="318">
        <f t="shared" si="2"/>
        <v>15</v>
      </c>
      <c r="C24" s="322"/>
      <c r="D24" s="322">
        <f t="shared" si="3"/>
        <v>5.6341764417632174E-5</v>
      </c>
      <c r="E24" s="322">
        <f t="shared" si="3"/>
        <v>3.2682438153797441E-2</v>
      </c>
    </row>
    <row r="25" spans="2:5">
      <c r="B25" s="318">
        <f t="shared" si="2"/>
        <v>16</v>
      </c>
      <c r="C25" s="322"/>
      <c r="D25" s="322">
        <f t="shared" si="3"/>
        <v>1.3694178851507846E-5</v>
      </c>
      <c r="E25" s="322">
        <f t="shared" si="3"/>
        <v>1.9291716965783169E-2</v>
      </c>
    </row>
    <row r="26" spans="2:5">
      <c r="B26" s="318">
        <f t="shared" si="2"/>
        <v>17</v>
      </c>
      <c r="C26" s="322"/>
      <c r="D26" s="322">
        <f t="shared" si="3"/>
        <v>3.0431508558906323E-6</v>
      </c>
      <c r="E26" s="322">
        <f t="shared" si="3"/>
        <v>1.0591530883175089E-2</v>
      </c>
    </row>
    <row r="27" spans="2:5">
      <c r="B27" s="318">
        <f t="shared" si="2"/>
        <v>18</v>
      </c>
      <c r="C27" s="322"/>
      <c r="D27" s="322">
        <f t="shared" si="3"/>
        <v>6.1990110027401786E-7</v>
      </c>
      <c r="E27" s="322">
        <f t="shared" si="3"/>
        <v>5.4265250821205688E-3</v>
      </c>
    </row>
    <row r="28" spans="2:5">
      <c r="B28" s="318">
        <f t="shared" si="2"/>
        <v>19</v>
      </c>
      <c r="C28" s="322"/>
      <c r="D28" s="322">
        <f t="shared" si="3"/>
        <v>1.160048842618044E-7</v>
      </c>
      <c r="E28" s="322">
        <f t="shared" si="3"/>
        <v>2.6021933142332623E-3</v>
      </c>
    </row>
    <row r="29" spans="2:5">
      <c r="B29" s="318">
        <f t="shared" si="2"/>
        <v>20</v>
      </c>
      <c r="C29" s="322"/>
      <c r="D29" s="322">
        <f t="shared" si="3"/>
        <v>1.9978618956199636E-8</v>
      </c>
      <c r="E29" s="322">
        <f t="shared" si="3"/>
        <v>1.1709869914049654E-3</v>
      </c>
    </row>
    <row r="30" spans="2:5">
      <c r="C30" s="322"/>
      <c r="D30" s="322"/>
      <c r="E30" s="322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5E31-3017-4599-83D8-2D52D3B5512B}">
  <sheetPr codeName="Sheet37"/>
  <dimension ref="A1:X32"/>
  <sheetViews>
    <sheetView showGridLines="0" workbookViewId="0"/>
  </sheetViews>
  <sheetFormatPr defaultColWidth="9.109375" defaultRowHeight="14.4"/>
  <cols>
    <col min="1" max="16384" width="9.109375" style="18"/>
  </cols>
  <sheetData>
    <row r="1" spans="1:24" s="317" customFormat="1">
      <c r="A1" s="316" t="s">
        <v>317</v>
      </c>
    </row>
    <row r="2" spans="1:24" s="317" customFormat="1"/>
    <row r="4" spans="1:24">
      <c r="E4" s="323">
        <v>0</v>
      </c>
      <c r="F4" s="323">
        <v>1</v>
      </c>
      <c r="G4" s="323">
        <v>2</v>
      </c>
      <c r="H4" s="323">
        <v>3</v>
      </c>
      <c r="I4" s="323">
        <v>4</v>
      </c>
      <c r="J4" s="323">
        <v>5</v>
      </c>
      <c r="K4" s="323">
        <v>6</v>
      </c>
      <c r="M4" s="323">
        <v>7</v>
      </c>
      <c r="N4" s="323">
        <v>8</v>
      </c>
      <c r="O4" s="323">
        <v>9</v>
      </c>
      <c r="P4" s="323">
        <v>10</v>
      </c>
      <c r="Q4" s="323">
        <v>11</v>
      </c>
      <c r="R4" s="323">
        <v>12</v>
      </c>
    </row>
    <row r="5" spans="1:24">
      <c r="A5" s="324" t="s">
        <v>318</v>
      </c>
      <c r="B5" s="325">
        <v>1.1000000000000001</v>
      </c>
      <c r="D5" s="323">
        <v>12</v>
      </c>
      <c r="R5" s="326">
        <f t="shared" ref="R5:R16" si="0">Q6*up</f>
        <v>313.84283767210036</v>
      </c>
      <c r="S5" s="327">
        <f t="shared" ref="S5:S17" si="1">_xlfn.BINOM.DIST(D5,12,0.6,FALSE)</f>
        <v>2.176782335999999E-3</v>
      </c>
    </row>
    <row r="6" spans="1:24">
      <c r="A6" s="324" t="s">
        <v>319</v>
      </c>
      <c r="B6" s="325">
        <f>1/B5</f>
        <v>0.90909090909090906</v>
      </c>
      <c r="D6" s="323">
        <v>11</v>
      </c>
      <c r="F6" s="324" t="s">
        <v>318</v>
      </c>
      <c r="G6" s="325">
        <v>1.1000000000000001</v>
      </c>
      <c r="M6" s="324" t="s">
        <v>318</v>
      </c>
      <c r="N6" s="325">
        <v>1.1000000000000001</v>
      </c>
      <c r="Q6" s="326">
        <f t="shared" ref="Q6:Q16" si="2">P7*up</f>
        <v>285.3116706110003</v>
      </c>
      <c r="R6" s="326">
        <f t="shared" si="0"/>
        <v>259.37424601000026</v>
      </c>
      <c r="S6" s="327">
        <f t="shared" si="1"/>
        <v>1.7414258687999982E-2</v>
      </c>
    </row>
    <row r="7" spans="1:24">
      <c r="D7" s="323">
        <v>10</v>
      </c>
      <c r="F7" s="324" t="s">
        <v>319</v>
      </c>
      <c r="G7" s="325">
        <f>1/G6</f>
        <v>0.90909090909090906</v>
      </c>
      <c r="M7" s="324" t="s">
        <v>319</v>
      </c>
      <c r="N7" s="325">
        <f>1/N6</f>
        <v>0.90909090909090906</v>
      </c>
      <c r="P7" s="326">
        <f t="shared" ref="P7:P16" si="3">O8*up</f>
        <v>259.37424601000026</v>
      </c>
      <c r="Q7" s="326">
        <f t="shared" si="2"/>
        <v>235.79476910000022</v>
      </c>
      <c r="R7" s="326">
        <f t="shared" si="0"/>
        <v>214.3588810000002</v>
      </c>
      <c r="S7" s="327">
        <f t="shared" si="1"/>
        <v>6.3852281855999962E-2</v>
      </c>
    </row>
    <row r="8" spans="1:24">
      <c r="D8" s="323">
        <v>9</v>
      </c>
      <c r="O8" s="326">
        <f t="shared" ref="O8:O16" si="4">N9*up</f>
        <v>235.79476910000022</v>
      </c>
      <c r="P8" s="326">
        <f t="shared" si="3"/>
        <v>214.3588810000002</v>
      </c>
      <c r="Q8" s="326">
        <f t="shared" si="2"/>
        <v>194.87171000000015</v>
      </c>
      <c r="R8" s="326">
        <f t="shared" si="0"/>
        <v>177.15610000000012</v>
      </c>
      <c r="S8" s="327">
        <f t="shared" si="1"/>
        <v>0.14189395967999993</v>
      </c>
      <c r="U8" s="18">
        <f>COMBIN(12,D8)</f>
        <v>220</v>
      </c>
      <c r="V8" s="18">
        <f>0.6^D8</f>
        <v>1.0077695999999999E-2</v>
      </c>
      <c r="W8" s="18">
        <f>(1-0.6)^(12-D8)</f>
        <v>6.4000000000000015E-2</v>
      </c>
      <c r="X8" s="328">
        <f>U8*V8*W8</f>
        <v>0.14189395968000001</v>
      </c>
    </row>
    <row r="9" spans="1:24">
      <c r="D9" s="323">
        <v>8</v>
      </c>
      <c r="N9" s="326">
        <f t="shared" ref="N9:N16" si="5">M10*up</f>
        <v>214.3588810000002</v>
      </c>
      <c r="O9" s="326">
        <f t="shared" si="4"/>
        <v>194.87171000000015</v>
      </c>
      <c r="P9" s="326">
        <f t="shared" si="3"/>
        <v>177.15610000000012</v>
      </c>
      <c r="Q9" s="326">
        <f t="shared" si="2"/>
        <v>161.0510000000001</v>
      </c>
      <c r="R9" s="326">
        <f t="shared" si="0"/>
        <v>146.41000000000008</v>
      </c>
      <c r="S9" s="327">
        <f t="shared" si="1"/>
        <v>0.21284093951999999</v>
      </c>
    </row>
    <row r="10" spans="1:24">
      <c r="D10" s="323">
        <v>7</v>
      </c>
      <c r="M10" s="326">
        <f t="shared" ref="M10:M16" si="6">K11*up</f>
        <v>194.87171000000015</v>
      </c>
      <c r="N10" s="326">
        <f t="shared" si="5"/>
        <v>177.15610000000012</v>
      </c>
      <c r="O10" s="326">
        <f t="shared" si="4"/>
        <v>161.0510000000001</v>
      </c>
      <c r="P10" s="326">
        <f t="shared" si="3"/>
        <v>146.41000000000008</v>
      </c>
      <c r="Q10" s="326">
        <f t="shared" si="2"/>
        <v>133.10000000000005</v>
      </c>
      <c r="R10" s="326">
        <f t="shared" si="0"/>
        <v>121.00000000000003</v>
      </c>
      <c r="S10" s="327">
        <f t="shared" si="1"/>
        <v>0.22703033548800006</v>
      </c>
    </row>
    <row r="11" spans="1:24">
      <c r="D11" s="323">
        <v>6</v>
      </c>
      <c r="K11" s="326">
        <f t="shared" ref="K11:K16" si="7">J12*up</f>
        <v>177.15610000000012</v>
      </c>
      <c r="L11" s="326"/>
      <c r="M11" s="326">
        <f t="shared" si="6"/>
        <v>161.0510000000001</v>
      </c>
      <c r="N11" s="326">
        <f t="shared" si="5"/>
        <v>146.41000000000008</v>
      </c>
      <c r="O11" s="326">
        <f t="shared" si="4"/>
        <v>133.10000000000005</v>
      </c>
      <c r="P11" s="326">
        <f t="shared" si="3"/>
        <v>121.00000000000003</v>
      </c>
      <c r="Q11" s="326">
        <f t="shared" si="2"/>
        <v>110.00000000000001</v>
      </c>
      <c r="R11" s="326">
        <f t="shared" si="0"/>
        <v>100.00000000000001</v>
      </c>
      <c r="S11" s="327">
        <f t="shared" si="1"/>
        <v>0.17657914982400005</v>
      </c>
      <c r="U11" s="18">
        <f>COMBIN(12,D11)</f>
        <v>923.99999999999977</v>
      </c>
      <c r="V11" s="18">
        <f>0.6^D11</f>
        <v>4.6655999999999996E-2</v>
      </c>
      <c r="W11" s="18">
        <f>(1-0.6)^(12-D11)</f>
        <v>4.0960000000000024E-3</v>
      </c>
      <c r="X11" s="328">
        <f>U11*V11*W11</f>
        <v>0.17657914982400003</v>
      </c>
    </row>
    <row r="12" spans="1:24">
      <c r="D12" s="323">
        <v>5</v>
      </c>
      <c r="J12" s="326">
        <f>I13*up</f>
        <v>161.0510000000001</v>
      </c>
      <c r="K12" s="326">
        <f t="shared" si="7"/>
        <v>146.41000000000008</v>
      </c>
      <c r="L12" s="326"/>
      <c r="M12" s="326">
        <f t="shared" si="6"/>
        <v>133.10000000000005</v>
      </c>
      <c r="N12" s="326">
        <f t="shared" si="5"/>
        <v>121.00000000000003</v>
      </c>
      <c r="O12" s="326">
        <f t="shared" si="4"/>
        <v>110.00000000000001</v>
      </c>
      <c r="P12" s="326">
        <f t="shared" si="3"/>
        <v>100</v>
      </c>
      <c r="Q12" s="326">
        <f t="shared" si="2"/>
        <v>90.909090909090921</v>
      </c>
      <c r="R12" s="326">
        <f t="shared" si="0"/>
        <v>82.644628099173559</v>
      </c>
      <c r="S12" s="327">
        <f t="shared" si="1"/>
        <v>0.10090237132800005</v>
      </c>
      <c r="U12" s="18">
        <f>COMBIN(12,D12)</f>
        <v>792</v>
      </c>
    </row>
    <row r="13" spans="1:24">
      <c r="D13" s="323">
        <v>4</v>
      </c>
      <c r="I13" s="326">
        <f>H14*up</f>
        <v>146.41000000000008</v>
      </c>
      <c r="J13" s="326">
        <f>I14*up</f>
        <v>133.10000000000005</v>
      </c>
      <c r="K13" s="326">
        <f t="shared" si="7"/>
        <v>121.00000000000003</v>
      </c>
      <c r="L13" s="326"/>
      <c r="M13" s="326">
        <f t="shared" si="6"/>
        <v>110.00000000000001</v>
      </c>
      <c r="N13" s="326">
        <f t="shared" si="5"/>
        <v>100</v>
      </c>
      <c r="O13" s="326">
        <f t="shared" si="4"/>
        <v>90.909090909090907</v>
      </c>
      <c r="P13" s="326">
        <f t="shared" si="3"/>
        <v>82.644628099173559</v>
      </c>
      <c r="Q13" s="326">
        <f t="shared" si="2"/>
        <v>75.13148009015778</v>
      </c>
      <c r="R13" s="326">
        <f t="shared" si="0"/>
        <v>68.301345536507085</v>
      </c>
      <c r="S13" s="327">
        <f t="shared" si="1"/>
        <v>4.2042654720000017E-2</v>
      </c>
    </row>
    <row r="14" spans="1:24">
      <c r="D14" s="323">
        <v>3</v>
      </c>
      <c r="H14" s="326">
        <f>G15*up</f>
        <v>133.10000000000005</v>
      </c>
      <c r="I14" s="326">
        <f>H15*up</f>
        <v>121.00000000000003</v>
      </c>
      <c r="J14" s="326">
        <f>I15*up</f>
        <v>110.00000000000001</v>
      </c>
      <c r="K14" s="326">
        <f t="shared" si="7"/>
        <v>100</v>
      </c>
      <c r="L14" s="326"/>
      <c r="M14" s="326">
        <f t="shared" si="6"/>
        <v>90.909090909090907</v>
      </c>
      <c r="N14" s="326">
        <f t="shared" si="5"/>
        <v>82.644628099173545</v>
      </c>
      <c r="O14" s="326">
        <f t="shared" si="4"/>
        <v>75.13148009015778</v>
      </c>
      <c r="P14" s="326">
        <f t="shared" si="3"/>
        <v>68.301345536507071</v>
      </c>
      <c r="Q14" s="326">
        <f t="shared" si="2"/>
        <v>62.092132305915527</v>
      </c>
      <c r="R14" s="326">
        <f t="shared" si="0"/>
        <v>56.447393005377755</v>
      </c>
      <c r="S14" s="327">
        <f t="shared" si="1"/>
        <v>1.2457082880000008E-2</v>
      </c>
    </row>
    <row r="15" spans="1:24">
      <c r="D15" s="323">
        <v>2</v>
      </c>
      <c r="G15" s="326">
        <f>F16*up</f>
        <v>121.00000000000003</v>
      </c>
      <c r="H15" s="326">
        <f>G16*up</f>
        <v>110.00000000000001</v>
      </c>
      <c r="I15" s="326">
        <f>H16*up</f>
        <v>100</v>
      </c>
      <c r="J15" s="326">
        <f>I16*up</f>
        <v>90.909090909090907</v>
      </c>
      <c r="K15" s="326">
        <f t="shared" si="7"/>
        <v>82.644628099173545</v>
      </c>
      <c r="L15" s="326"/>
      <c r="M15" s="326">
        <f t="shared" si="6"/>
        <v>75.131480090157766</v>
      </c>
      <c r="N15" s="326">
        <f t="shared" si="5"/>
        <v>68.301345536507071</v>
      </c>
      <c r="O15" s="326">
        <f t="shared" si="4"/>
        <v>62.09213230591552</v>
      </c>
      <c r="P15" s="326">
        <f t="shared" si="3"/>
        <v>56.447393005377748</v>
      </c>
      <c r="Q15" s="326">
        <f t="shared" si="2"/>
        <v>51.315811823070682</v>
      </c>
      <c r="R15" s="326">
        <f t="shared" si="0"/>
        <v>46.650738020973343</v>
      </c>
      <c r="S15" s="327">
        <f t="shared" si="1"/>
        <v>2.491416576000004E-3</v>
      </c>
    </row>
    <row r="16" spans="1:24">
      <c r="D16" s="323">
        <v>1</v>
      </c>
      <c r="F16" s="326">
        <f>E17*up</f>
        <v>110.00000000000001</v>
      </c>
      <c r="G16" s="326">
        <f>F17*up</f>
        <v>100</v>
      </c>
      <c r="H16" s="326">
        <f>G17*up</f>
        <v>90.909090909090907</v>
      </c>
      <c r="I16" s="326">
        <f>H17*up</f>
        <v>82.644628099173545</v>
      </c>
      <c r="J16" s="326">
        <f>I17*up</f>
        <v>75.131480090157766</v>
      </c>
      <c r="K16" s="326">
        <f t="shared" si="7"/>
        <v>68.301345536507057</v>
      </c>
      <c r="L16" s="326"/>
      <c r="M16" s="326">
        <f t="shared" si="6"/>
        <v>62.092132305915513</v>
      </c>
      <c r="N16" s="326">
        <f t="shared" si="5"/>
        <v>56.447393005377741</v>
      </c>
      <c r="O16" s="326">
        <f t="shared" si="4"/>
        <v>51.315811823070675</v>
      </c>
      <c r="P16" s="326">
        <f t="shared" si="3"/>
        <v>46.650738020973343</v>
      </c>
      <c r="Q16" s="326">
        <f t="shared" si="2"/>
        <v>42.409761837248489</v>
      </c>
      <c r="R16" s="326">
        <f t="shared" si="0"/>
        <v>38.55432894295317</v>
      </c>
      <c r="S16" s="327">
        <f t="shared" si="1"/>
        <v>3.0198988800000048E-4</v>
      </c>
    </row>
    <row r="17" spans="4:19">
      <c r="D17" s="323">
        <v>0</v>
      </c>
      <c r="E17" s="329">
        <v>100</v>
      </c>
      <c r="F17" s="326">
        <f t="shared" ref="F17:R17" si="8">E17*down</f>
        <v>90.909090909090907</v>
      </c>
      <c r="G17" s="326">
        <f t="shared" si="8"/>
        <v>82.644628099173545</v>
      </c>
      <c r="H17" s="326">
        <f t="shared" si="8"/>
        <v>75.131480090157766</v>
      </c>
      <c r="I17" s="326">
        <f t="shared" si="8"/>
        <v>68.301345536507057</v>
      </c>
      <c r="J17" s="326">
        <f t="shared" si="8"/>
        <v>62.092132305915506</v>
      </c>
      <c r="K17" s="326">
        <f t="shared" si="8"/>
        <v>56.447393005377734</v>
      </c>
      <c r="L17" s="326"/>
      <c r="M17" s="326">
        <f>K17*down</f>
        <v>51.315811823070668</v>
      </c>
      <c r="N17" s="326">
        <f t="shared" si="8"/>
        <v>46.650738020973336</v>
      </c>
      <c r="O17" s="326">
        <f t="shared" si="8"/>
        <v>42.409761837248489</v>
      </c>
      <c r="P17" s="326">
        <f t="shared" si="8"/>
        <v>38.55432894295317</v>
      </c>
      <c r="Q17" s="326">
        <f t="shared" si="8"/>
        <v>35.049389948139243</v>
      </c>
      <c r="R17" s="326">
        <f t="shared" si="8"/>
        <v>31.863081771035674</v>
      </c>
      <c r="S17" s="327">
        <f t="shared" si="1"/>
        <v>1.677721600000002E-5</v>
      </c>
    </row>
    <row r="18" spans="4:19">
      <c r="S18" s="330">
        <f>SUM(S5:S17)</f>
        <v>1.0000000000000002</v>
      </c>
    </row>
    <row r="32" spans="4:19">
      <c r="K32" s="18">
        <f>1/1.1</f>
        <v>0.90909090909090906</v>
      </c>
    </row>
  </sheetData>
  <pageMargins left="0.7" right="0.7" top="0.75" bottom="0.75" header="0.3" footer="0.3"/>
  <pageSetup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EA6D-6371-4253-A520-D04699238EAE}">
  <sheetPr codeName="Sheet38"/>
  <dimension ref="A1:E30"/>
  <sheetViews>
    <sheetView showGridLines="0" workbookViewId="0"/>
  </sheetViews>
  <sheetFormatPr defaultColWidth="9.109375" defaultRowHeight="14.4"/>
  <cols>
    <col min="1" max="16384" width="9.109375" style="318"/>
  </cols>
  <sheetData>
    <row r="1" spans="1:5" s="317" customFormat="1">
      <c r="A1" s="316" t="s">
        <v>320</v>
      </c>
    </row>
    <row r="2" spans="1:5" s="317" customFormat="1"/>
    <row r="6" spans="1:5">
      <c r="B6" s="319" t="s">
        <v>316</v>
      </c>
      <c r="C6" s="320">
        <v>2</v>
      </c>
      <c r="D6" s="320">
        <v>4</v>
      </c>
      <c r="E6" s="320">
        <v>10</v>
      </c>
    </row>
    <row r="8" spans="1:5">
      <c r="B8" s="319" t="s">
        <v>11</v>
      </c>
      <c r="C8" s="319" t="str">
        <f>"λ = "&amp;C6</f>
        <v>λ = 2</v>
      </c>
      <c r="D8" s="319" t="str">
        <f>"λ = "&amp;D6</f>
        <v>λ = 4</v>
      </c>
      <c r="E8" s="319" t="str">
        <f>"λ = "&amp;E6</f>
        <v>λ = 10</v>
      </c>
    </row>
    <row r="9" spans="1:5">
      <c r="B9" s="318">
        <v>0</v>
      </c>
      <c r="C9" s="322">
        <f t="shared" ref="C9:E29" si="0">_xlfn.POISSON.DIST($B9,C$6,FALSE)</f>
        <v>0.1353352832366127</v>
      </c>
      <c r="D9" s="322">
        <f t="shared" si="0"/>
        <v>1.8315638888734179E-2</v>
      </c>
      <c r="E9" s="322">
        <f t="shared" si="0"/>
        <v>4.5399929762484854E-5</v>
      </c>
    </row>
    <row r="10" spans="1:5">
      <c r="B10" s="318">
        <f t="shared" ref="B10:B29" si="1">B9+1</f>
        <v>1</v>
      </c>
      <c r="C10" s="322">
        <f t="shared" si="0"/>
        <v>0.27067056647322535</v>
      </c>
      <c r="D10" s="322">
        <f t="shared" si="0"/>
        <v>7.3262555554936715E-2</v>
      </c>
      <c r="E10" s="322">
        <f t="shared" si="0"/>
        <v>4.5399929762484861E-4</v>
      </c>
    </row>
    <row r="11" spans="1:5">
      <c r="B11" s="318">
        <f t="shared" si="1"/>
        <v>2</v>
      </c>
      <c r="C11" s="322">
        <f t="shared" si="0"/>
        <v>0.27067056647322546</v>
      </c>
      <c r="D11" s="322">
        <f t="shared" si="0"/>
        <v>0.14652511110987346</v>
      </c>
      <c r="E11" s="322">
        <f t="shared" si="0"/>
        <v>2.2699964881242444E-3</v>
      </c>
    </row>
    <row r="12" spans="1:5">
      <c r="B12" s="318">
        <f t="shared" si="1"/>
        <v>3</v>
      </c>
      <c r="C12" s="322">
        <f t="shared" si="0"/>
        <v>0.18044704431548364</v>
      </c>
      <c r="D12" s="322">
        <f t="shared" si="0"/>
        <v>0.19536681481316462</v>
      </c>
      <c r="E12" s="322">
        <f t="shared" si="0"/>
        <v>7.5666549604141483E-3</v>
      </c>
    </row>
    <row r="13" spans="1:5">
      <c r="B13" s="318">
        <f t="shared" si="1"/>
        <v>4</v>
      </c>
      <c r="C13" s="322">
        <f t="shared" si="0"/>
        <v>9.022352215774182E-2</v>
      </c>
      <c r="D13" s="322">
        <f t="shared" si="0"/>
        <v>0.19536681481316462</v>
      </c>
      <c r="E13" s="322">
        <f t="shared" si="0"/>
        <v>1.8916637401035354E-2</v>
      </c>
    </row>
    <row r="14" spans="1:5">
      <c r="B14" s="318">
        <f t="shared" si="1"/>
        <v>5</v>
      </c>
      <c r="C14" s="322">
        <f t="shared" si="0"/>
        <v>3.6089408863096716E-2</v>
      </c>
      <c r="D14" s="322">
        <f t="shared" si="0"/>
        <v>0.1562934518505317</v>
      </c>
      <c r="E14" s="322">
        <f t="shared" si="0"/>
        <v>3.7833274802070715E-2</v>
      </c>
    </row>
    <row r="15" spans="1:5">
      <c r="B15" s="318">
        <f t="shared" si="1"/>
        <v>6</v>
      </c>
      <c r="C15" s="322">
        <f t="shared" si="0"/>
        <v>1.2029802954365572E-2</v>
      </c>
      <c r="D15" s="322">
        <f t="shared" si="0"/>
        <v>0.10419563456702115</v>
      </c>
      <c r="E15" s="322">
        <f t="shared" si="0"/>
        <v>6.3055458003451192E-2</v>
      </c>
    </row>
    <row r="16" spans="1:5">
      <c r="B16" s="318">
        <f t="shared" si="1"/>
        <v>7</v>
      </c>
      <c r="C16" s="322">
        <f t="shared" si="0"/>
        <v>3.4370865583901629E-3</v>
      </c>
      <c r="D16" s="322">
        <f t="shared" si="0"/>
        <v>5.9540362609726373E-2</v>
      </c>
      <c r="E16" s="322">
        <f t="shared" si="0"/>
        <v>9.0079225719215977E-2</v>
      </c>
    </row>
    <row r="17" spans="2:5">
      <c r="B17" s="318">
        <f t="shared" si="1"/>
        <v>8</v>
      </c>
      <c r="C17" s="322">
        <f t="shared" si="0"/>
        <v>8.5927163959754148E-4</v>
      </c>
      <c r="D17" s="322">
        <f t="shared" si="0"/>
        <v>2.9770181304863183E-2</v>
      </c>
      <c r="E17" s="322">
        <f t="shared" si="0"/>
        <v>0.11259903214901996</v>
      </c>
    </row>
    <row r="18" spans="2:5">
      <c r="B18" s="318">
        <f t="shared" si="1"/>
        <v>9</v>
      </c>
      <c r="C18" s="322">
        <f t="shared" si="0"/>
        <v>1.9094925324389769E-4</v>
      </c>
      <c r="D18" s="322">
        <f t="shared" si="0"/>
        <v>1.3231191691050297E-2</v>
      </c>
      <c r="E18" s="322">
        <f t="shared" si="0"/>
        <v>0.1251100357211333</v>
      </c>
    </row>
    <row r="19" spans="2:5">
      <c r="B19" s="318">
        <f t="shared" si="1"/>
        <v>10</v>
      </c>
      <c r="C19" s="322">
        <f t="shared" si="0"/>
        <v>3.8189850648779602E-5</v>
      </c>
      <c r="D19" s="322">
        <f t="shared" si="0"/>
        <v>5.2924766764201169E-3</v>
      </c>
      <c r="E19" s="322">
        <f t="shared" si="0"/>
        <v>0.1251100357211333</v>
      </c>
    </row>
    <row r="20" spans="2:5">
      <c r="B20" s="318">
        <f t="shared" si="1"/>
        <v>11</v>
      </c>
      <c r="C20" s="322">
        <f t="shared" si="0"/>
        <v>6.9436092088690095E-6</v>
      </c>
      <c r="D20" s="322">
        <f t="shared" si="0"/>
        <v>1.9245369732436813E-3</v>
      </c>
      <c r="E20" s="322">
        <f t="shared" si="0"/>
        <v>0.11373639611012118</v>
      </c>
    </row>
    <row r="21" spans="2:5">
      <c r="B21" s="318">
        <f t="shared" si="1"/>
        <v>12</v>
      </c>
      <c r="C21" s="322">
        <f t="shared" si="0"/>
        <v>1.1572682014781686E-6</v>
      </c>
      <c r="D21" s="322">
        <f t="shared" si="0"/>
        <v>6.4151232441456022E-4</v>
      </c>
      <c r="E21" s="322">
        <f t="shared" si="0"/>
        <v>9.4780330091767673E-2</v>
      </c>
    </row>
    <row r="22" spans="2:5">
      <c r="B22" s="318">
        <f t="shared" si="1"/>
        <v>13</v>
      </c>
      <c r="C22" s="322">
        <f t="shared" si="0"/>
        <v>1.7804126176587265E-7</v>
      </c>
      <c r="D22" s="322">
        <f t="shared" si="0"/>
        <v>1.9738840751217212E-4</v>
      </c>
      <c r="E22" s="322">
        <f t="shared" si="0"/>
        <v>7.2907946224436637E-2</v>
      </c>
    </row>
    <row r="23" spans="2:5">
      <c r="B23" s="318">
        <f t="shared" si="1"/>
        <v>14</v>
      </c>
      <c r="C23" s="322">
        <f t="shared" si="0"/>
        <v>2.5434465966553194E-8</v>
      </c>
      <c r="D23" s="322">
        <f t="shared" si="0"/>
        <v>5.6396687860620615E-5</v>
      </c>
      <c r="E23" s="322">
        <f t="shared" si="0"/>
        <v>5.2077104446026187E-2</v>
      </c>
    </row>
    <row r="24" spans="2:5">
      <c r="B24" s="318">
        <f t="shared" si="1"/>
        <v>15</v>
      </c>
      <c r="C24" s="322">
        <f t="shared" si="0"/>
        <v>3.391262128873753E-9</v>
      </c>
      <c r="D24" s="322">
        <f t="shared" si="0"/>
        <v>1.5039116762832177E-5</v>
      </c>
      <c r="E24" s="322">
        <f t="shared" si="0"/>
        <v>3.4718069630684127E-2</v>
      </c>
    </row>
    <row r="25" spans="2:5">
      <c r="B25" s="318">
        <f t="shared" si="1"/>
        <v>16</v>
      </c>
      <c r="C25" s="322">
        <f t="shared" si="0"/>
        <v>4.2390776610922124E-10</v>
      </c>
      <c r="D25" s="322">
        <f t="shared" si="0"/>
        <v>3.7597791907080502E-6</v>
      </c>
      <c r="E25" s="322">
        <f t="shared" si="0"/>
        <v>2.1698793519177549E-2</v>
      </c>
    </row>
    <row r="26" spans="2:5">
      <c r="B26" s="318">
        <f t="shared" si="1"/>
        <v>17</v>
      </c>
      <c r="C26" s="322">
        <f t="shared" si="0"/>
        <v>4.9871501895202335E-11</v>
      </c>
      <c r="D26" s="322">
        <f t="shared" si="0"/>
        <v>8.8465392722542387E-7</v>
      </c>
      <c r="E26" s="322">
        <f t="shared" si="0"/>
        <v>1.2763996187751522E-2</v>
      </c>
    </row>
    <row r="27" spans="2:5">
      <c r="B27" s="318">
        <f t="shared" si="1"/>
        <v>18</v>
      </c>
      <c r="C27" s="322">
        <f t="shared" si="0"/>
        <v>5.5412779883558056E-12</v>
      </c>
      <c r="D27" s="322">
        <f t="shared" si="0"/>
        <v>1.9658976160564875E-7</v>
      </c>
      <c r="E27" s="322">
        <f t="shared" si="0"/>
        <v>7.0911089931952852E-3</v>
      </c>
    </row>
    <row r="28" spans="2:5">
      <c r="B28" s="318">
        <f t="shared" si="1"/>
        <v>19</v>
      </c>
      <c r="C28" s="322">
        <f t="shared" si="0"/>
        <v>5.8329241982692627E-13</v>
      </c>
      <c r="D28" s="322">
        <f t="shared" si="0"/>
        <v>4.1387318232768188E-8</v>
      </c>
      <c r="E28" s="322">
        <f t="shared" si="0"/>
        <v>3.7321626279975249E-3</v>
      </c>
    </row>
    <row r="29" spans="2:5">
      <c r="B29" s="318">
        <f t="shared" si="1"/>
        <v>20</v>
      </c>
      <c r="C29" s="322">
        <f t="shared" si="0"/>
        <v>5.8329241982692291E-14</v>
      </c>
      <c r="D29" s="322">
        <f t="shared" si="0"/>
        <v>8.2774636465536645E-9</v>
      </c>
      <c r="E29" s="322">
        <f t="shared" si="0"/>
        <v>1.8660813139987594E-3</v>
      </c>
    </row>
    <row r="30" spans="2:5">
      <c r="C30" s="322"/>
      <c r="D30" s="322"/>
      <c r="E30" s="322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3237-523C-42EF-87ED-C669496F4A9E}">
  <sheetPr codeName="Sheet39"/>
  <dimension ref="A1:E30"/>
  <sheetViews>
    <sheetView showGridLines="0" workbookViewId="0"/>
  </sheetViews>
  <sheetFormatPr defaultColWidth="9.109375" defaultRowHeight="14.4"/>
  <cols>
    <col min="1" max="16384" width="9.109375" style="318"/>
  </cols>
  <sheetData>
    <row r="1" spans="1:5" s="317" customFormat="1">
      <c r="A1" s="316" t="s">
        <v>321</v>
      </c>
    </row>
    <row r="2" spans="1:5" s="317" customFormat="1"/>
    <row r="5" spans="1:5">
      <c r="B5" s="319" t="s">
        <v>14</v>
      </c>
      <c r="C5" s="320">
        <v>10</v>
      </c>
      <c r="D5" s="320">
        <v>10</v>
      </c>
      <c r="E5" s="320">
        <v>10</v>
      </c>
    </row>
    <row r="6" spans="1:5">
      <c r="B6" s="319" t="s">
        <v>322</v>
      </c>
      <c r="C6" s="331">
        <v>1</v>
      </c>
      <c r="D6" s="331">
        <v>2</v>
      </c>
      <c r="E6" s="331">
        <v>3</v>
      </c>
    </row>
    <row r="8" spans="1:5">
      <c r="B8" s="319" t="s">
        <v>11</v>
      </c>
      <c r="C8" s="319" t="str">
        <f>"σ = "&amp;C6</f>
        <v>σ = 1</v>
      </c>
      <c r="D8" s="319" t="str">
        <f t="shared" ref="D8:E8" si="0">"σ = "&amp;D6</f>
        <v>σ = 2</v>
      </c>
      <c r="E8" s="319" t="str">
        <f t="shared" si="0"/>
        <v>σ = 3</v>
      </c>
    </row>
    <row r="9" spans="1:5">
      <c r="B9" s="318">
        <f t="shared" ref="B9:B17" si="1">B10-0.5</f>
        <v>5</v>
      </c>
      <c r="C9" s="322">
        <f>_xlfn.NORM.DIST($B9,C$5,C$6,FALSE)</f>
        <v>1.4867195147342977E-6</v>
      </c>
      <c r="D9" s="322">
        <f t="shared" ref="D9:E9" si="2">_xlfn.NORM.DIST($B9,D$5,D$6,FALSE)</f>
        <v>8.7641502467842702E-3</v>
      </c>
      <c r="E9" s="322">
        <f t="shared" si="2"/>
        <v>3.3159046264249557E-2</v>
      </c>
    </row>
    <row r="10" spans="1:5">
      <c r="B10" s="318">
        <f t="shared" si="1"/>
        <v>5.5</v>
      </c>
      <c r="C10" s="322">
        <f t="shared" ref="C10:E29" si="3">_xlfn.NORM.DIST($B10,C$5,C$6,FALSE)</f>
        <v>1.5983741106905475E-5</v>
      </c>
      <c r="D10" s="322">
        <f t="shared" si="3"/>
        <v>1.5869825917833709E-2</v>
      </c>
      <c r="E10" s="322">
        <f t="shared" si="3"/>
        <v>4.3172531888630579E-2</v>
      </c>
    </row>
    <row r="11" spans="1:5">
      <c r="B11" s="318">
        <f t="shared" si="1"/>
        <v>6</v>
      </c>
      <c r="C11" s="322">
        <f t="shared" si="3"/>
        <v>1.3383022576488537E-4</v>
      </c>
      <c r="D11" s="322">
        <f t="shared" si="3"/>
        <v>2.6995483256594031E-2</v>
      </c>
      <c r="E11" s="322">
        <f t="shared" si="3"/>
        <v>5.4670024891997876E-2</v>
      </c>
    </row>
    <row r="12" spans="1:5">
      <c r="B12" s="318">
        <f t="shared" si="1"/>
        <v>6.5</v>
      </c>
      <c r="C12" s="322">
        <f t="shared" si="3"/>
        <v>8.7268269504576015E-4</v>
      </c>
      <c r="D12" s="322">
        <f t="shared" si="3"/>
        <v>4.3138659413255766E-2</v>
      </c>
      <c r="E12" s="322">
        <f t="shared" si="3"/>
        <v>6.7332895184686298E-2</v>
      </c>
    </row>
    <row r="13" spans="1:5">
      <c r="B13" s="318">
        <f t="shared" si="1"/>
        <v>7</v>
      </c>
      <c r="C13" s="322">
        <f t="shared" si="3"/>
        <v>4.4318484119380075E-3</v>
      </c>
      <c r="D13" s="322">
        <f t="shared" si="3"/>
        <v>6.4758797832945872E-2</v>
      </c>
      <c r="E13" s="322">
        <f t="shared" si="3"/>
        <v>8.0656908173047798E-2</v>
      </c>
    </row>
    <row r="14" spans="1:5">
      <c r="B14" s="318">
        <f t="shared" si="1"/>
        <v>7.5</v>
      </c>
      <c r="C14" s="322">
        <f t="shared" si="3"/>
        <v>1.752830049356854E-2</v>
      </c>
      <c r="D14" s="322">
        <f t="shared" si="3"/>
        <v>9.1324542694510957E-2</v>
      </c>
      <c r="E14" s="322">
        <f t="shared" si="3"/>
        <v>9.3970625136767516E-2</v>
      </c>
    </row>
    <row r="15" spans="1:5">
      <c r="B15" s="318">
        <f t="shared" si="1"/>
        <v>8</v>
      </c>
      <c r="C15" s="322">
        <f t="shared" si="3"/>
        <v>5.3990966513188063E-2</v>
      </c>
      <c r="D15" s="322">
        <f t="shared" si="3"/>
        <v>0.12098536225957168</v>
      </c>
      <c r="E15" s="322">
        <f t="shared" si="3"/>
        <v>0.10648266850745074</v>
      </c>
    </row>
    <row r="16" spans="1:5">
      <c r="B16" s="318">
        <f t="shared" si="1"/>
        <v>8.5</v>
      </c>
      <c r="C16" s="322">
        <f t="shared" si="3"/>
        <v>0.12951759566589174</v>
      </c>
      <c r="D16" s="322">
        <f t="shared" si="3"/>
        <v>0.15056871607740221</v>
      </c>
      <c r="E16" s="322">
        <f t="shared" si="3"/>
        <v>0.11735510892143317</v>
      </c>
    </row>
    <row r="17" spans="2:5">
      <c r="B17" s="318">
        <f t="shared" si="1"/>
        <v>9</v>
      </c>
      <c r="C17" s="322">
        <f t="shared" si="3"/>
        <v>0.24197072451914337</v>
      </c>
      <c r="D17" s="322">
        <f t="shared" si="3"/>
        <v>0.17603266338214976</v>
      </c>
      <c r="E17" s="322">
        <f t="shared" si="3"/>
        <v>0.12579440923099772</v>
      </c>
    </row>
    <row r="18" spans="2:5">
      <c r="B18" s="318">
        <f>B19-0.5</f>
        <v>9.5</v>
      </c>
      <c r="C18" s="322">
        <f t="shared" si="3"/>
        <v>0.35206532676429952</v>
      </c>
      <c r="D18" s="322">
        <f t="shared" si="3"/>
        <v>0.19333405840142462</v>
      </c>
      <c r="E18" s="322">
        <f t="shared" si="3"/>
        <v>0.13114657203397997</v>
      </c>
    </row>
    <row r="19" spans="2:5">
      <c r="B19" s="332">
        <v>10</v>
      </c>
      <c r="C19" s="322">
        <f t="shared" si="3"/>
        <v>0.3989422804014327</v>
      </c>
      <c r="D19" s="322">
        <f t="shared" si="3"/>
        <v>0.19947114020071635</v>
      </c>
      <c r="E19" s="322">
        <f t="shared" si="3"/>
        <v>0.13298076013381088</v>
      </c>
    </row>
    <row r="20" spans="2:5">
      <c r="B20" s="318">
        <f>B19+0.5</f>
        <v>10.5</v>
      </c>
      <c r="C20" s="322">
        <f t="shared" si="3"/>
        <v>0.35206532676429952</v>
      </c>
      <c r="D20" s="322">
        <f t="shared" si="3"/>
        <v>0.19333405840142462</v>
      </c>
      <c r="E20" s="322">
        <f t="shared" si="3"/>
        <v>0.13114657203397997</v>
      </c>
    </row>
    <row r="21" spans="2:5">
      <c r="B21" s="318">
        <f t="shared" ref="B21:B29" si="4">B20+0.5</f>
        <v>11</v>
      </c>
      <c r="C21" s="322">
        <f t="shared" si="3"/>
        <v>0.24197072451914337</v>
      </c>
      <c r="D21" s="322">
        <f t="shared" si="3"/>
        <v>0.17603266338214976</v>
      </c>
      <c r="E21" s="322">
        <f t="shared" si="3"/>
        <v>0.12579440923099772</v>
      </c>
    </row>
    <row r="22" spans="2:5">
      <c r="B22" s="318">
        <f t="shared" si="4"/>
        <v>11.5</v>
      </c>
      <c r="C22" s="322">
        <f t="shared" si="3"/>
        <v>0.12951759566589174</v>
      </c>
      <c r="D22" s="322">
        <f t="shared" si="3"/>
        <v>0.15056871607740221</v>
      </c>
      <c r="E22" s="322">
        <f t="shared" si="3"/>
        <v>0.11735510892143317</v>
      </c>
    </row>
    <row r="23" spans="2:5">
      <c r="B23" s="318">
        <f t="shared" si="4"/>
        <v>12</v>
      </c>
      <c r="C23" s="322">
        <f t="shared" si="3"/>
        <v>5.3990966513188063E-2</v>
      </c>
      <c r="D23" s="322">
        <f t="shared" si="3"/>
        <v>0.12098536225957168</v>
      </c>
      <c r="E23" s="322">
        <f t="shared" si="3"/>
        <v>0.10648266850745074</v>
      </c>
    </row>
    <row r="24" spans="2:5">
      <c r="B24" s="318">
        <f t="shared" si="4"/>
        <v>12.5</v>
      </c>
      <c r="C24" s="322">
        <f t="shared" si="3"/>
        <v>1.752830049356854E-2</v>
      </c>
      <c r="D24" s="322">
        <f t="shared" si="3"/>
        <v>9.1324542694510957E-2</v>
      </c>
      <c r="E24" s="322">
        <f t="shared" si="3"/>
        <v>9.3970625136767516E-2</v>
      </c>
    </row>
    <row r="25" spans="2:5">
      <c r="B25" s="318">
        <f t="shared" si="4"/>
        <v>13</v>
      </c>
      <c r="C25" s="322">
        <f t="shared" si="3"/>
        <v>4.4318484119380075E-3</v>
      </c>
      <c r="D25" s="322">
        <f t="shared" si="3"/>
        <v>6.4758797832945872E-2</v>
      </c>
      <c r="E25" s="322">
        <f t="shared" si="3"/>
        <v>8.0656908173047798E-2</v>
      </c>
    </row>
    <row r="26" spans="2:5">
      <c r="B26" s="318">
        <f t="shared" si="4"/>
        <v>13.5</v>
      </c>
      <c r="C26" s="322">
        <f t="shared" si="3"/>
        <v>8.7268269504576015E-4</v>
      </c>
      <c r="D26" s="322">
        <f t="shared" si="3"/>
        <v>4.3138659413255766E-2</v>
      </c>
      <c r="E26" s="322">
        <f t="shared" si="3"/>
        <v>6.7332895184686298E-2</v>
      </c>
    </row>
    <row r="27" spans="2:5">
      <c r="B27" s="318">
        <f t="shared" si="4"/>
        <v>14</v>
      </c>
      <c r="C27" s="322">
        <f t="shared" si="3"/>
        <v>1.3383022576488537E-4</v>
      </c>
      <c r="D27" s="322">
        <f t="shared" si="3"/>
        <v>2.6995483256594031E-2</v>
      </c>
      <c r="E27" s="322">
        <f t="shared" si="3"/>
        <v>5.4670024891997876E-2</v>
      </c>
    </row>
    <row r="28" spans="2:5">
      <c r="B28" s="318">
        <f t="shared" si="4"/>
        <v>14.5</v>
      </c>
      <c r="C28" s="322">
        <f t="shared" si="3"/>
        <v>1.5983741106905475E-5</v>
      </c>
      <c r="D28" s="322">
        <f t="shared" si="3"/>
        <v>1.5869825917833709E-2</v>
      </c>
      <c r="E28" s="322">
        <f t="shared" si="3"/>
        <v>4.3172531888630579E-2</v>
      </c>
    </row>
    <row r="29" spans="2:5">
      <c r="B29" s="318">
        <f t="shared" si="4"/>
        <v>15</v>
      </c>
      <c r="C29" s="322">
        <f t="shared" si="3"/>
        <v>1.4867195147342977E-6</v>
      </c>
      <c r="D29" s="322">
        <f t="shared" si="3"/>
        <v>8.7641502467842702E-3</v>
      </c>
      <c r="E29" s="322">
        <f t="shared" si="3"/>
        <v>3.3159046264249557E-2</v>
      </c>
    </row>
    <row r="30" spans="2:5">
      <c r="C30" s="322"/>
      <c r="D30" s="322"/>
      <c r="E30" s="322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AE5D-A820-4E31-B5F5-C4C3D47CA589}">
  <sheetPr codeName="Sheet40"/>
  <dimension ref="A1:E22"/>
  <sheetViews>
    <sheetView showGridLines="0" workbookViewId="0"/>
  </sheetViews>
  <sheetFormatPr defaultColWidth="9.109375" defaultRowHeight="14.4"/>
  <cols>
    <col min="1" max="16384" width="9.109375" style="318"/>
  </cols>
  <sheetData>
    <row r="1" spans="1:5" s="317" customFormat="1">
      <c r="A1" s="316" t="s">
        <v>323</v>
      </c>
    </row>
    <row r="2" spans="1:5" s="317" customFormat="1"/>
    <row r="5" spans="1:5">
      <c r="B5" s="319" t="s">
        <v>14</v>
      </c>
      <c r="C5" s="320">
        <v>0</v>
      </c>
      <c r="D5" s="320">
        <v>0</v>
      </c>
      <c r="E5" s="320">
        <v>0</v>
      </c>
    </row>
    <row r="6" spans="1:5">
      <c r="B6" s="319" t="s">
        <v>322</v>
      </c>
      <c r="C6" s="331">
        <v>0.25</v>
      </c>
      <c r="D6" s="331">
        <v>0.5</v>
      </c>
      <c r="E6" s="331">
        <v>1</v>
      </c>
    </row>
    <row r="8" spans="1:5">
      <c r="B8" s="319" t="s">
        <v>11</v>
      </c>
      <c r="C8" s="319" t="str">
        <f>"σ = "&amp;C6</f>
        <v>σ = 0.25</v>
      </c>
      <c r="D8" s="319" t="str">
        <f t="shared" ref="D8:E8" si="0">"σ = "&amp;D6</f>
        <v>σ = 0.5</v>
      </c>
      <c r="E8" s="319" t="str">
        <f t="shared" si="0"/>
        <v>σ = 1</v>
      </c>
    </row>
    <row r="9" spans="1:5">
      <c r="B9" s="333">
        <v>1.0000000000000001E-5</v>
      </c>
      <c r="C9" s="322">
        <f>_xlfn.LOGNORM.DIST($B9,C$5,C$6,FALSE)</f>
        <v>0</v>
      </c>
      <c r="D9" s="322">
        <f t="shared" ref="D9:E9" si="1">_xlfn.LOGNORM.DIST($B9,D$5,D$6,FALSE)</f>
        <v>5.9249598506978834E-111</v>
      </c>
      <c r="E9" s="322">
        <f t="shared" si="1"/>
        <v>6.5856159926168652E-25</v>
      </c>
    </row>
    <row r="10" spans="1:5">
      <c r="B10" s="333">
        <f>B9+0.25</f>
        <v>0.25001000000000001</v>
      </c>
      <c r="C10" s="322">
        <f t="shared" ref="C10:E21" si="2">_xlfn.LOGNORM.DIST($B10,C$5,C$6,FALSE)</f>
        <v>1.3438135439066645E-6</v>
      </c>
      <c r="D10" s="322">
        <f t="shared" si="2"/>
        <v>6.8361922182128276E-2</v>
      </c>
      <c r="E10" s="322">
        <f t="shared" si="2"/>
        <v>0.6104647362037251</v>
      </c>
    </row>
    <row r="11" spans="1:5">
      <c r="B11" s="333">
        <f t="shared" ref="B11:B21" si="3">B10+0.25</f>
        <v>0.50001000000000007</v>
      </c>
      <c r="C11" s="322">
        <f t="shared" si="2"/>
        <v>6.8363289544851991E-2</v>
      </c>
      <c r="D11" s="322">
        <f t="shared" si="2"/>
        <v>0.61047694559276544</v>
      </c>
      <c r="E11" s="322">
        <f t="shared" si="2"/>
        <v>0.62749222606194521</v>
      </c>
    </row>
    <row r="12" spans="1:5">
      <c r="B12" s="333">
        <f t="shared" si="3"/>
        <v>0.75001000000000007</v>
      </c>
      <c r="C12" s="322">
        <f t="shared" si="2"/>
        <v>1.0974596928777238</v>
      </c>
      <c r="D12" s="322">
        <f t="shared" si="2"/>
        <v>0.90155951526864242</v>
      </c>
      <c r="E12" s="322">
        <f t="shared" si="2"/>
        <v>0.51035615913322607</v>
      </c>
    </row>
    <row r="13" spans="1:5">
      <c r="B13" s="333">
        <f t="shared" si="3"/>
        <v>1.0000100000000001</v>
      </c>
      <c r="C13" s="322">
        <f t="shared" si="2"/>
        <v>1.5957531627974997</v>
      </c>
      <c r="D13" s="322">
        <f t="shared" si="2"/>
        <v>0.79787658187747112</v>
      </c>
      <c r="E13" s="322">
        <f t="shared" si="2"/>
        <v>0.39893829099857575</v>
      </c>
    </row>
    <row r="14" spans="1:5">
      <c r="B14" s="333">
        <f t="shared" si="3"/>
        <v>1.2500100000000001</v>
      </c>
      <c r="C14" s="322">
        <f t="shared" si="2"/>
        <v>0.85712746106085613</v>
      </c>
      <c r="D14" s="322">
        <f t="shared" si="2"/>
        <v>0.57779500629479885</v>
      </c>
      <c r="E14" s="322">
        <f t="shared" si="2"/>
        <v>0.31130305375213202</v>
      </c>
    </row>
    <row r="15" spans="1:5">
      <c r="B15" s="333">
        <f t="shared" si="3"/>
        <v>1.5000100000000001</v>
      </c>
      <c r="C15" s="322">
        <f t="shared" si="2"/>
        <v>0.28553952223927703</v>
      </c>
      <c r="D15" s="322">
        <f t="shared" si="2"/>
        <v>0.38286307982798096</v>
      </c>
      <c r="E15" s="322">
        <f t="shared" si="2"/>
        <v>0.244971356377338</v>
      </c>
    </row>
    <row r="16" spans="1:5">
      <c r="B16" s="333">
        <f t="shared" si="3"/>
        <v>1.7500100000000001</v>
      </c>
      <c r="C16" s="322">
        <f t="shared" si="2"/>
        <v>7.4446429442983797E-2</v>
      </c>
      <c r="D16" s="322">
        <f t="shared" si="2"/>
        <v>0.24371267566415453</v>
      </c>
      <c r="E16" s="322">
        <f t="shared" si="2"/>
        <v>0.19492349158106417</v>
      </c>
    </row>
    <row r="17" spans="2:5">
      <c r="B17" s="333">
        <f t="shared" si="3"/>
        <v>2.0000100000000001</v>
      </c>
      <c r="C17" s="322">
        <f t="shared" si="2"/>
        <v>1.7086340842429323E-2</v>
      </c>
      <c r="D17" s="322">
        <f t="shared" si="2"/>
        <v>0.15261094732826749</v>
      </c>
      <c r="E17" s="322">
        <f t="shared" si="2"/>
        <v>0.1568726912319445</v>
      </c>
    </row>
    <row r="18" spans="2:5">
      <c r="B18" s="333">
        <f t="shared" si="3"/>
        <v>2.2500100000000001</v>
      </c>
      <c r="C18" s="322">
        <f t="shared" si="2"/>
        <v>3.681264309299903E-3</v>
      </c>
      <c r="D18" s="322">
        <f t="shared" si="2"/>
        <v>9.518279664874045E-2</v>
      </c>
      <c r="E18" s="322">
        <f t="shared" si="2"/>
        <v>0.12762223014885121</v>
      </c>
    </row>
    <row r="19" spans="2:5">
      <c r="B19" s="333">
        <f t="shared" si="3"/>
        <v>2.5000100000000001</v>
      </c>
      <c r="C19" s="322">
        <f t="shared" si="2"/>
        <v>7.7263238700137462E-4</v>
      </c>
      <c r="D19" s="322">
        <f t="shared" si="2"/>
        <v>5.9529805695267307E-2</v>
      </c>
      <c r="E19" s="322">
        <f t="shared" si="2"/>
        <v>0.10487026303968526</v>
      </c>
    </row>
    <row r="20" spans="2:5">
      <c r="B20" s="333">
        <f t="shared" si="3"/>
        <v>2.7500100000000001</v>
      </c>
      <c r="C20" s="322">
        <f t="shared" si="2"/>
        <v>1.615010662801919E-4</v>
      </c>
      <c r="D20" s="322">
        <f t="shared" si="2"/>
        <v>3.7474917971100058E-2</v>
      </c>
      <c r="E20" s="322">
        <f t="shared" si="2"/>
        <v>8.69680071346116E-2</v>
      </c>
    </row>
    <row r="21" spans="2:5">
      <c r="B21" s="333">
        <f t="shared" si="3"/>
        <v>3.0000100000000001</v>
      </c>
      <c r="C21" s="322">
        <f t="shared" si="2"/>
        <v>3.4076244003970394E-5</v>
      </c>
      <c r="D21" s="322">
        <f t="shared" si="2"/>
        <v>2.37940544050519E-2</v>
      </c>
      <c r="E21" s="322">
        <f t="shared" si="2"/>
        <v>7.2727747380844546E-2</v>
      </c>
    </row>
    <row r="22" spans="2:5">
      <c r="C22" s="322"/>
      <c r="D22" s="322"/>
      <c r="E22" s="322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2F09-322C-40FE-97BF-6989FBC69852}">
  <sheetPr codeName="Sheet41"/>
  <dimension ref="A1:E41"/>
  <sheetViews>
    <sheetView showGridLines="0" workbookViewId="0">
      <selection activeCell="K35" sqref="K35"/>
    </sheetView>
  </sheetViews>
  <sheetFormatPr defaultColWidth="9.109375" defaultRowHeight="14.4"/>
  <cols>
    <col min="1" max="16384" width="9.109375" style="318"/>
  </cols>
  <sheetData>
    <row r="1" spans="1:5" s="317" customFormat="1">
      <c r="A1" s="316" t="s">
        <v>324</v>
      </c>
    </row>
    <row r="2" spans="1:5" s="317" customFormat="1"/>
    <row r="6" spans="1:5">
      <c r="B6" s="319" t="s">
        <v>322</v>
      </c>
      <c r="C6" s="334">
        <v>1</v>
      </c>
      <c r="D6" s="334">
        <v>2</v>
      </c>
      <c r="E6" s="334">
        <v>3</v>
      </c>
    </row>
    <row r="8" spans="1:5">
      <c r="B8" s="319" t="s">
        <v>11</v>
      </c>
      <c r="C8" s="319" t="str">
        <f>"k = "&amp;C6</f>
        <v>k = 1</v>
      </c>
      <c r="D8" s="319" t="str">
        <f t="shared" ref="D8:E8" si="0">"k = "&amp;D6</f>
        <v>k = 2</v>
      </c>
      <c r="E8" s="319" t="str">
        <f t="shared" si="0"/>
        <v>k = 3</v>
      </c>
    </row>
    <row r="9" spans="1:5">
      <c r="B9" s="333">
        <v>1.0000000000000001E-5</v>
      </c>
      <c r="C9" s="322">
        <f>_xlfn.CHISQ.DIST($B9,C$6,FALSE)</f>
        <v>126.15599531945442</v>
      </c>
      <c r="D9" s="322">
        <f t="shared" ref="D9:E24" si="1">_xlfn.CHISQ.DIST($B9,D$6,FALSE)</f>
        <v>0.49999750000624982</v>
      </c>
      <c r="E9" s="322">
        <f t="shared" si="1"/>
        <v>1.2615599531945417E-3</v>
      </c>
    </row>
    <row r="10" spans="1:5">
      <c r="B10" s="333">
        <v>0.25</v>
      </c>
      <c r="C10" s="322">
        <f t="shared" ref="C10:E41" si="2">_xlfn.CHISQ.DIST($B10,C$6,FALSE)</f>
        <v>0.70413065352859905</v>
      </c>
      <c r="D10" s="322">
        <f t="shared" si="1"/>
        <v>0.44124845129229778</v>
      </c>
      <c r="E10" s="322">
        <f t="shared" si="1"/>
        <v>0.17603266338214985</v>
      </c>
    </row>
    <row r="11" spans="1:5">
      <c r="B11" s="333">
        <f>B10+0.25</f>
        <v>0.5</v>
      </c>
      <c r="C11" s="322">
        <f t="shared" si="2"/>
        <v>0.43939128946772238</v>
      </c>
      <c r="D11" s="322">
        <f t="shared" si="1"/>
        <v>0.38940039153570244</v>
      </c>
      <c r="E11" s="322">
        <f t="shared" si="1"/>
        <v>0.21969564473386122</v>
      </c>
    </row>
    <row r="12" spans="1:5">
      <c r="B12" s="333">
        <f t="shared" ref="B12:B41" si="3">B11+0.25</f>
        <v>0.75</v>
      </c>
      <c r="C12" s="322">
        <f t="shared" si="2"/>
        <v>0.31660589975553932</v>
      </c>
      <c r="D12" s="322">
        <f t="shared" si="1"/>
        <v>0.34364463939548606</v>
      </c>
      <c r="E12" s="322">
        <f t="shared" si="1"/>
        <v>0.23745442481665452</v>
      </c>
    </row>
    <row r="13" spans="1:5">
      <c r="B13" s="333">
        <f t="shared" si="3"/>
        <v>1</v>
      </c>
      <c r="C13" s="322">
        <f t="shared" si="2"/>
        <v>0.24197072451914334</v>
      </c>
      <c r="D13" s="322">
        <f t="shared" si="1"/>
        <v>0.30326532985631671</v>
      </c>
      <c r="E13" s="322">
        <f t="shared" si="1"/>
        <v>0.24197072451914337</v>
      </c>
    </row>
    <row r="14" spans="1:5">
      <c r="B14" s="333">
        <f t="shared" si="3"/>
        <v>1.25</v>
      </c>
      <c r="C14" s="322">
        <f t="shared" si="2"/>
        <v>0.19099456461342262</v>
      </c>
      <c r="D14" s="322">
        <f t="shared" si="1"/>
        <v>0.26763071425949508</v>
      </c>
      <c r="E14" s="322">
        <f t="shared" si="1"/>
        <v>0.23874320576677827</v>
      </c>
    </row>
    <row r="15" spans="1:5">
      <c r="B15" s="333">
        <f t="shared" si="3"/>
        <v>1.5</v>
      </c>
      <c r="C15" s="322">
        <f t="shared" si="2"/>
        <v>0.15386632280545526</v>
      </c>
      <c r="D15" s="322">
        <f t="shared" si="1"/>
        <v>0.23618327637050734</v>
      </c>
      <c r="E15" s="322">
        <f t="shared" si="1"/>
        <v>0.23079948420818289</v>
      </c>
    </row>
    <row r="16" spans="1:5">
      <c r="B16" s="333">
        <f t="shared" si="3"/>
        <v>1.75</v>
      </c>
      <c r="C16" s="322">
        <f t="shared" si="2"/>
        <v>0.12571392031277051</v>
      </c>
      <c r="D16" s="322">
        <f t="shared" si="1"/>
        <v>0.20843100983925417</v>
      </c>
      <c r="E16" s="322">
        <f t="shared" si="1"/>
        <v>0.21999936054734842</v>
      </c>
    </row>
    <row r="17" spans="2:5">
      <c r="B17" s="333">
        <f t="shared" si="3"/>
        <v>2</v>
      </c>
      <c r="C17" s="322">
        <f t="shared" si="2"/>
        <v>0.10377687435514868</v>
      </c>
      <c r="D17" s="322">
        <f t="shared" si="1"/>
        <v>0.18393972058572117</v>
      </c>
      <c r="E17" s="322">
        <f t="shared" si="1"/>
        <v>0.20755374871029736</v>
      </c>
    </row>
    <row r="18" spans="2:5">
      <c r="B18" s="333">
        <f t="shared" si="3"/>
        <v>2.25</v>
      </c>
      <c r="C18" s="322">
        <f t="shared" si="2"/>
        <v>8.6345063777261144E-2</v>
      </c>
      <c r="D18" s="322">
        <f t="shared" si="1"/>
        <v>0.16232623367917484</v>
      </c>
      <c r="E18" s="322">
        <f t="shared" si="1"/>
        <v>0.19427639349883766</v>
      </c>
    </row>
    <row r="19" spans="2:5">
      <c r="B19" s="333">
        <f t="shared" si="3"/>
        <v>2.5</v>
      </c>
      <c r="C19" s="322">
        <f t="shared" si="2"/>
        <v>7.2288957067272508E-2</v>
      </c>
      <c r="D19" s="322">
        <f t="shared" si="1"/>
        <v>0.14325239843009505</v>
      </c>
      <c r="E19" s="322">
        <f t="shared" si="1"/>
        <v>0.18072239266818135</v>
      </c>
    </row>
    <row r="20" spans="2:5">
      <c r="B20" s="333">
        <f t="shared" si="3"/>
        <v>2.75</v>
      </c>
      <c r="C20" s="322">
        <f t="shared" si="2"/>
        <v>6.0825936789378754E-2</v>
      </c>
      <c r="D20" s="322">
        <f t="shared" si="1"/>
        <v>0.12641979790237323</v>
      </c>
      <c r="E20" s="322">
        <f t="shared" si="1"/>
        <v>0.16727132617079166</v>
      </c>
    </row>
    <row r="21" spans="2:5">
      <c r="B21" s="333">
        <f t="shared" si="3"/>
        <v>3</v>
      </c>
      <c r="C21" s="322">
        <f t="shared" si="2"/>
        <v>5.1393443267923083E-2</v>
      </c>
      <c r="D21" s="322">
        <f t="shared" si="1"/>
        <v>0.11156508007421491</v>
      </c>
      <c r="E21" s="322">
        <f t="shared" si="1"/>
        <v>0.15418032980376933</v>
      </c>
    </row>
    <row r="22" spans="2:5">
      <c r="B22" s="333">
        <f t="shared" si="3"/>
        <v>3.25</v>
      </c>
      <c r="C22" s="322">
        <f t="shared" si="2"/>
        <v>4.3575246469636286E-2</v>
      </c>
      <c r="D22" s="322">
        <f t="shared" si="1"/>
        <v>9.8455837602097029E-2</v>
      </c>
      <c r="E22" s="322">
        <f t="shared" si="1"/>
        <v>0.14161955102631801</v>
      </c>
    </row>
    <row r="23" spans="2:5">
      <c r="B23" s="333">
        <f t="shared" si="3"/>
        <v>3.5</v>
      </c>
      <c r="C23" s="322">
        <f t="shared" si="2"/>
        <v>3.705618452374812E-2</v>
      </c>
      <c r="D23" s="322">
        <f t="shared" si="1"/>
        <v>8.6886971725222556E-2</v>
      </c>
      <c r="E23" s="322">
        <f t="shared" si="1"/>
        <v>0.12969664583311846</v>
      </c>
    </row>
    <row r="24" spans="2:5">
      <c r="B24" s="333">
        <f t="shared" si="3"/>
        <v>3.75</v>
      </c>
      <c r="C24" s="322">
        <f t="shared" si="2"/>
        <v>3.1593102636969295E-2</v>
      </c>
      <c r="D24" s="322">
        <f t="shared" si="1"/>
        <v>7.6677483422464221E-2</v>
      </c>
      <c r="E24" s="322">
        <f t="shared" si="1"/>
        <v>0.11847413488863492</v>
      </c>
    </row>
    <row r="25" spans="2:5">
      <c r="B25" s="333">
        <f t="shared" si="3"/>
        <v>4</v>
      </c>
      <c r="C25" s="322">
        <f t="shared" si="2"/>
        <v>2.6995483256594028E-2</v>
      </c>
      <c r="D25" s="322">
        <f t="shared" si="2"/>
        <v>6.7667641618306337E-2</v>
      </c>
      <c r="E25" s="322">
        <f t="shared" si="2"/>
        <v>0.10798193302637614</v>
      </c>
    </row>
    <row r="26" spans="2:5">
      <c r="B26" s="333">
        <f t="shared" si="3"/>
        <v>4.25</v>
      </c>
      <c r="C26" s="322">
        <f t="shared" si="2"/>
        <v>2.3112122289275252E-2</v>
      </c>
      <c r="D26" s="322">
        <f t="shared" si="2"/>
        <v>5.9716484133359816E-2</v>
      </c>
      <c r="E26" s="322">
        <f t="shared" si="2"/>
        <v>9.8226519729419884E-2</v>
      </c>
    </row>
    <row r="27" spans="2:5">
      <c r="B27" s="333">
        <f t="shared" si="3"/>
        <v>4.5</v>
      </c>
      <c r="C27" s="322">
        <f t="shared" si="2"/>
        <v>1.9821714870604894E-2</v>
      </c>
      <c r="D27" s="322">
        <f t="shared" si="2"/>
        <v>5.2699612280932166E-2</v>
      </c>
      <c r="E27" s="322">
        <f t="shared" si="2"/>
        <v>8.9197716917722061E-2</v>
      </c>
    </row>
    <row r="28" spans="2:5">
      <c r="B28" s="333">
        <f t="shared" si="3"/>
        <v>4.75</v>
      </c>
      <c r="C28" s="322">
        <f t="shared" si="2"/>
        <v>1.702604851212022E-2</v>
      </c>
      <c r="D28" s="322">
        <f t="shared" si="2"/>
        <v>4.6507244605331739E-2</v>
      </c>
      <c r="E28" s="322">
        <f t="shared" si="2"/>
        <v>8.0873730432571095E-2</v>
      </c>
    </row>
    <row r="29" spans="2:5">
      <c r="B29" s="333">
        <f t="shared" si="3"/>
        <v>5</v>
      </c>
      <c r="C29" s="322">
        <f t="shared" si="2"/>
        <v>1.4644982561926487E-2</v>
      </c>
      <c r="D29" s="322">
        <f t="shared" si="2"/>
        <v>4.10424993119494E-2</v>
      </c>
      <c r="E29" s="322">
        <f t="shared" si="2"/>
        <v>7.3224912809632461E-2</v>
      </c>
    </row>
    <row r="30" spans="2:5">
      <c r="B30" s="333">
        <f t="shared" si="3"/>
        <v>5.25</v>
      </c>
      <c r="C30" s="322">
        <f t="shared" si="2"/>
        <v>1.2612680634945184E-2</v>
      </c>
      <c r="D30" s="322">
        <f t="shared" si="2"/>
        <v>3.6219878517125728E-2</v>
      </c>
      <c r="E30" s="322">
        <f t="shared" si="2"/>
        <v>6.6216573333462259E-2</v>
      </c>
    </row>
    <row r="31" spans="2:5">
      <c r="B31" s="333">
        <f t="shared" si="3"/>
        <v>5.5</v>
      </c>
      <c r="C31" s="322">
        <f t="shared" si="2"/>
        <v>1.0874740337283141E-2</v>
      </c>
      <c r="D31" s="322">
        <f t="shared" si="2"/>
        <v>3.1963930603353785E-2</v>
      </c>
      <c r="E31" s="322">
        <f t="shared" si="2"/>
        <v>5.9811071855057296E-2</v>
      </c>
    </row>
    <row r="32" spans="2:5">
      <c r="B32" s="333">
        <f t="shared" si="3"/>
        <v>5.75</v>
      </c>
      <c r="C32" s="322">
        <f t="shared" si="2"/>
        <v>9.3859774830187225E-3</v>
      </c>
      <c r="D32" s="322">
        <f t="shared" si="2"/>
        <v>2.8208069751888672E-2</v>
      </c>
      <c r="E32" s="322">
        <f t="shared" si="2"/>
        <v>5.3969370527357688E-2</v>
      </c>
    </row>
    <row r="33" spans="2:5">
      <c r="B33" s="333">
        <f t="shared" si="3"/>
        <v>6</v>
      </c>
      <c r="C33" s="322">
        <f t="shared" si="2"/>
        <v>8.1086955549402422E-3</v>
      </c>
      <c r="D33" s="322">
        <f t="shared" si="2"/>
        <v>2.4893534183931976E-2</v>
      </c>
      <c r="E33" s="322">
        <f t="shared" si="2"/>
        <v>4.8652173329641474E-2</v>
      </c>
    </row>
    <row r="34" spans="2:5">
      <c r="B34" s="333">
        <f t="shared" si="3"/>
        <v>6.25</v>
      </c>
      <c r="C34" s="322">
        <f t="shared" si="2"/>
        <v>7.0113201974274153E-3</v>
      </c>
      <c r="D34" s="322">
        <f t="shared" si="2"/>
        <v>2.196846681170371E-2</v>
      </c>
      <c r="E34" s="322">
        <f t="shared" si="2"/>
        <v>4.3820751233921366E-2</v>
      </c>
    </row>
    <row r="35" spans="2:5">
      <c r="B35" s="333">
        <f t="shared" si="3"/>
        <v>6.5</v>
      </c>
      <c r="C35" s="322">
        <f t="shared" si="2"/>
        <v>6.0673119025767353E-3</v>
      </c>
      <c r="D35" s="322">
        <f t="shared" si="2"/>
        <v>1.9387103915861008E-2</v>
      </c>
      <c r="E35" s="322">
        <f t="shared" si="2"/>
        <v>3.9437527366748784E-2</v>
      </c>
    </row>
    <row r="36" spans="2:5">
      <c r="B36" s="333">
        <f t="shared" si="3"/>
        <v>6.75</v>
      </c>
      <c r="C36" s="322">
        <f t="shared" si="2"/>
        <v>5.2542931922660375E-3</v>
      </c>
      <c r="D36" s="322">
        <f t="shared" si="2"/>
        <v>1.7109059155833016E-2</v>
      </c>
      <c r="E36" s="322">
        <f t="shared" si="2"/>
        <v>3.5466479047795769E-2</v>
      </c>
    </row>
    <row r="37" spans="2:5">
      <c r="B37" s="333">
        <f t="shared" si="3"/>
        <v>7</v>
      </c>
      <c r="C37" s="322">
        <f t="shared" si="2"/>
        <v>4.5533429216401732E-3</v>
      </c>
      <c r="D37" s="322">
        <f t="shared" si="2"/>
        <v>1.509869171115925E-2</v>
      </c>
      <c r="E37" s="322">
        <f t="shared" si="2"/>
        <v>3.1873400451481231E-2</v>
      </c>
    </row>
    <row r="38" spans="2:5">
      <c r="B38" s="333">
        <f t="shared" si="3"/>
        <v>7.25</v>
      </c>
      <c r="C38" s="322">
        <f t="shared" si="2"/>
        <v>3.9484220233781467E-3</v>
      </c>
      <c r="D38" s="322">
        <f t="shared" si="2"/>
        <v>1.3324548668177743E-2</v>
      </c>
      <c r="E38" s="322">
        <f t="shared" si="2"/>
        <v>2.8626059669491572E-2</v>
      </c>
    </row>
    <row r="39" spans="2:5">
      <c r="B39" s="333">
        <f t="shared" si="3"/>
        <v>7.5</v>
      </c>
      <c r="C39" s="322">
        <f t="shared" si="2"/>
        <v>3.4259035101394824E-3</v>
      </c>
      <c r="D39" s="322">
        <f t="shared" si="2"/>
        <v>1.1758872928004555E-2</v>
      </c>
      <c r="E39" s="322">
        <f t="shared" si="2"/>
        <v>2.569427632604613E-2</v>
      </c>
    </row>
    <row r="40" spans="2:5">
      <c r="B40" s="333">
        <f t="shared" si="3"/>
        <v>7.75</v>
      </c>
      <c r="C40" s="322">
        <f t="shared" si="2"/>
        <v>2.9741858095974059E-3</v>
      </c>
      <c r="D40" s="322">
        <f t="shared" si="2"/>
        <v>1.0377168936849871E-2</v>
      </c>
      <c r="E40" s="322">
        <f t="shared" si="2"/>
        <v>2.3049940024379902E-2</v>
      </c>
    </row>
    <row r="41" spans="2:5">
      <c r="B41" s="333">
        <f t="shared" si="3"/>
        <v>8</v>
      </c>
      <c r="C41" s="322">
        <f t="shared" si="2"/>
        <v>2.5833731692615066E-3</v>
      </c>
      <c r="D41" s="322">
        <f t="shared" si="2"/>
        <v>9.1578194443670893E-3</v>
      </c>
      <c r="E41" s="322">
        <f t="shared" si="2"/>
        <v>2.066698535409206E-2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CC1B-DAC4-4711-8AA7-EF57D7F1ED6B}">
  <sheetPr codeName="Sheet42"/>
  <dimension ref="A1:E41"/>
  <sheetViews>
    <sheetView showGridLines="0" workbookViewId="0"/>
  </sheetViews>
  <sheetFormatPr defaultColWidth="9.109375" defaultRowHeight="14.4"/>
  <cols>
    <col min="1" max="16384" width="9.109375" style="318"/>
  </cols>
  <sheetData>
    <row r="1" spans="1:5" s="317" customFormat="1">
      <c r="A1" s="316" t="s">
        <v>325</v>
      </c>
    </row>
    <row r="2" spans="1:5" s="317" customFormat="1"/>
    <row r="5" spans="1:5">
      <c r="B5" s="319"/>
    </row>
    <row r="6" spans="1:5">
      <c r="B6" s="319" t="s">
        <v>322</v>
      </c>
      <c r="C6" s="331">
        <v>1</v>
      </c>
      <c r="D6" s="331">
        <v>3</v>
      </c>
      <c r="E6" s="331">
        <v>10</v>
      </c>
    </row>
    <row r="8" spans="1:5">
      <c r="B8" s="319" t="s">
        <v>11</v>
      </c>
      <c r="C8" s="319" t="str">
        <f>"k = "&amp;C6</f>
        <v>k = 1</v>
      </c>
      <c r="D8" s="319" t="str">
        <f t="shared" ref="D8:E8" si="0">"k = "&amp;D6</f>
        <v>k = 3</v>
      </c>
      <c r="E8" s="319" t="str">
        <f t="shared" si="0"/>
        <v>k = 10</v>
      </c>
    </row>
    <row r="9" spans="1:5">
      <c r="B9" s="318">
        <f t="shared" ref="B9:B23" si="1">B10-0.25</f>
        <v>-4</v>
      </c>
      <c r="C9" s="322">
        <f t="shared" ref="C9:E39" si="2">_xlfn.T.DIST($B9,C$6,FALSE)</f>
        <v>1.8724110951987685E-2</v>
      </c>
      <c r="D9" s="322">
        <f t="shared" si="2"/>
        <v>9.1633611427444726E-3</v>
      </c>
      <c r="E9" s="322">
        <f t="shared" si="2"/>
        <v>2.0310339110412167E-3</v>
      </c>
    </row>
    <row r="10" spans="1:5">
      <c r="B10" s="318">
        <f t="shared" si="1"/>
        <v>-3.75</v>
      </c>
      <c r="C10" s="322">
        <f t="shared" si="2"/>
        <v>2.1132606551620955E-2</v>
      </c>
      <c r="D10" s="322">
        <f t="shared" si="2"/>
        <v>1.1362572735014193E-2</v>
      </c>
      <c r="E10" s="322">
        <f t="shared" si="2"/>
        <v>3.1095423842434468E-3</v>
      </c>
    </row>
    <row r="11" spans="1:5">
      <c r="B11" s="318">
        <f t="shared" si="1"/>
        <v>-3.5</v>
      </c>
      <c r="C11" s="322">
        <f t="shared" si="2"/>
        <v>2.4023387636512503E-2</v>
      </c>
      <c r="D11" s="322">
        <f t="shared" si="2"/>
        <v>1.422401880152971E-2</v>
      </c>
      <c r="E11" s="322">
        <f t="shared" si="2"/>
        <v>4.7836071267013227E-3</v>
      </c>
    </row>
    <row r="12" spans="1:5">
      <c r="B12" s="318">
        <f t="shared" si="1"/>
        <v>-3.25</v>
      </c>
      <c r="C12" s="322">
        <f t="shared" si="2"/>
        <v>2.7529503669949468E-2</v>
      </c>
      <c r="D12" s="322">
        <f t="shared" si="2"/>
        <v>1.79838430072389E-2</v>
      </c>
      <c r="E12" s="322">
        <f t="shared" si="2"/>
        <v>7.3816432867555527E-3</v>
      </c>
    </row>
    <row r="13" spans="1:5">
      <c r="B13" s="318">
        <f t="shared" si="1"/>
        <v>-3</v>
      </c>
      <c r="C13" s="322">
        <f t="shared" si="2"/>
        <v>3.1830988618379068E-2</v>
      </c>
      <c r="D13" s="322">
        <f t="shared" si="2"/>
        <v>2.2972037309241342E-2</v>
      </c>
      <c r="E13" s="322">
        <f t="shared" si="2"/>
        <v>1.1400549464542524E-2</v>
      </c>
    </row>
    <row r="14" spans="1:5">
      <c r="B14" s="318">
        <f t="shared" si="1"/>
        <v>-2.75</v>
      </c>
      <c r="C14" s="322">
        <f t="shared" si="2"/>
        <v>3.7174877218544893E-2</v>
      </c>
      <c r="D14" s="322">
        <f t="shared" si="2"/>
        <v>2.9650263764149469E-2</v>
      </c>
      <c r="E14" s="322">
        <f t="shared" si="2"/>
        <v>1.757299290172061E-2</v>
      </c>
    </row>
    <row r="15" spans="1:5">
      <c r="B15" s="318">
        <f t="shared" si="1"/>
        <v>-2.5</v>
      </c>
      <c r="C15" s="322">
        <f t="shared" si="2"/>
        <v>4.3904811887419404E-2</v>
      </c>
      <c r="D15" s="322">
        <f t="shared" si="2"/>
        <v>3.8661485727167301E-2</v>
      </c>
      <c r="E15" s="322">
        <f t="shared" si="2"/>
        <v>2.6938727628244463E-2</v>
      </c>
    </row>
    <row r="16" spans="1:5">
      <c r="B16" s="318">
        <f t="shared" si="1"/>
        <v>-2.25</v>
      </c>
      <c r="C16" s="322">
        <f t="shared" si="2"/>
        <v>5.2504723494233518E-2</v>
      </c>
      <c r="D16" s="322">
        <f t="shared" si="2"/>
        <v>5.0888839815388075E-2</v>
      </c>
      <c r="E16" s="322">
        <f t="shared" si="2"/>
        <v>4.0891849988948951E-2</v>
      </c>
    </row>
    <row r="17" spans="2:5">
      <c r="B17" s="318">
        <f t="shared" si="1"/>
        <v>-2</v>
      </c>
      <c r="C17" s="322">
        <f t="shared" si="2"/>
        <v>6.3661977236758135E-2</v>
      </c>
      <c r="D17" s="322">
        <f t="shared" si="2"/>
        <v>6.7509660663892967E-2</v>
      </c>
      <c r="E17" s="322">
        <f t="shared" si="2"/>
        <v>6.1145766321218181E-2</v>
      </c>
    </row>
    <row r="18" spans="2:5">
      <c r="B18" s="318">
        <f t="shared" si="1"/>
        <v>-1.75</v>
      </c>
      <c r="C18" s="322">
        <f t="shared" si="2"/>
        <v>7.8353202752933102E-2</v>
      </c>
      <c r="D18" s="322">
        <f t="shared" si="2"/>
        <v>9.0003314206384633E-2</v>
      </c>
      <c r="E18" s="322">
        <f t="shared" si="2"/>
        <v>8.9521205019562067E-2</v>
      </c>
    </row>
    <row r="19" spans="2:5">
      <c r="B19" s="318">
        <f t="shared" si="1"/>
        <v>-1.5</v>
      </c>
      <c r="C19" s="322">
        <f t="shared" si="2"/>
        <v>9.7941503441166353E-2</v>
      </c>
      <c r="D19" s="322">
        <f t="shared" si="2"/>
        <v>0.1200171745135874</v>
      </c>
      <c r="E19" s="322">
        <f t="shared" si="2"/>
        <v>0.12744479428709171</v>
      </c>
    </row>
    <row r="20" spans="2:5">
      <c r="B20" s="318">
        <f t="shared" si="1"/>
        <v>-1.25</v>
      </c>
      <c r="C20" s="322">
        <f t="shared" si="2"/>
        <v>0.12421849216928418</v>
      </c>
      <c r="D20" s="322">
        <f t="shared" si="2"/>
        <v>0.15891183774964773</v>
      </c>
      <c r="E20" s="322">
        <f t="shared" si="2"/>
        <v>0.17509993580741329</v>
      </c>
    </row>
    <row r="21" spans="2:5">
      <c r="B21" s="318">
        <f t="shared" si="1"/>
        <v>-1</v>
      </c>
      <c r="C21" s="322">
        <f t="shared" si="2"/>
        <v>0.15915494309189535</v>
      </c>
      <c r="D21" s="322">
        <f t="shared" si="2"/>
        <v>0.20674833578317209</v>
      </c>
      <c r="E21" s="322">
        <f t="shared" si="2"/>
        <v>0.23036198922913867</v>
      </c>
    </row>
    <row r="22" spans="2:5">
      <c r="B22" s="318">
        <f t="shared" si="1"/>
        <v>-0.75</v>
      </c>
      <c r="C22" s="322">
        <f t="shared" si="2"/>
        <v>0.20371832715762603</v>
      </c>
      <c r="D22" s="322">
        <f t="shared" si="2"/>
        <v>0.26064671694917602</v>
      </c>
      <c r="E22" s="322">
        <f t="shared" si="2"/>
        <v>0.28797422469394507</v>
      </c>
    </row>
    <row r="23" spans="2:5">
      <c r="B23" s="318">
        <f t="shared" si="1"/>
        <v>-0.5</v>
      </c>
      <c r="C23" s="322">
        <f t="shared" si="2"/>
        <v>0.25464790894703254</v>
      </c>
      <c r="D23" s="322">
        <f t="shared" si="2"/>
        <v>0.31318091100882872</v>
      </c>
      <c r="E23" s="322">
        <f t="shared" si="2"/>
        <v>0.33969513635207788</v>
      </c>
    </row>
    <row r="24" spans="2:5">
      <c r="B24" s="318">
        <f>B25-0.25</f>
        <v>-0.25</v>
      </c>
      <c r="C24" s="322">
        <f t="shared" si="2"/>
        <v>0.29958577523180296</v>
      </c>
      <c r="D24" s="322">
        <f t="shared" si="2"/>
        <v>0.35270353326442017</v>
      </c>
      <c r="E24" s="322">
        <f t="shared" si="2"/>
        <v>0.37600028568971833</v>
      </c>
    </row>
    <row r="25" spans="2:5">
      <c r="B25" s="332">
        <v>0</v>
      </c>
      <c r="C25" s="322">
        <f t="shared" si="2"/>
        <v>0.31830988618379069</v>
      </c>
      <c r="D25" s="322">
        <f t="shared" si="2"/>
        <v>0.36755259694786152</v>
      </c>
      <c r="E25" s="322">
        <f t="shared" si="2"/>
        <v>0.38910838396603115</v>
      </c>
    </row>
    <row r="26" spans="2:5">
      <c r="B26" s="318">
        <f>B25+0.25</f>
        <v>0.25</v>
      </c>
      <c r="C26" s="322">
        <f t="shared" si="2"/>
        <v>0.29958577523180296</v>
      </c>
      <c r="D26" s="322">
        <f t="shared" si="2"/>
        <v>0.35270353326442017</v>
      </c>
      <c r="E26" s="322">
        <f t="shared" si="2"/>
        <v>0.37600028568971833</v>
      </c>
    </row>
    <row r="27" spans="2:5">
      <c r="B27" s="318">
        <f t="shared" ref="B27:B41" si="3">B26+0.25</f>
        <v>0.5</v>
      </c>
      <c r="C27" s="322">
        <f t="shared" si="2"/>
        <v>0.25464790894703254</v>
      </c>
      <c r="D27" s="322">
        <f t="shared" si="2"/>
        <v>0.31318091100882872</v>
      </c>
      <c r="E27" s="322">
        <f t="shared" si="2"/>
        <v>0.33969513635207788</v>
      </c>
    </row>
    <row r="28" spans="2:5">
      <c r="B28" s="318">
        <f t="shared" si="3"/>
        <v>0.75</v>
      </c>
      <c r="C28" s="322">
        <f t="shared" si="2"/>
        <v>0.20371832715762603</v>
      </c>
      <c r="D28" s="322">
        <f t="shared" si="2"/>
        <v>0.26064671694917602</v>
      </c>
      <c r="E28" s="322">
        <f t="shared" si="2"/>
        <v>0.28797422469394507</v>
      </c>
    </row>
    <row r="29" spans="2:5">
      <c r="B29" s="318">
        <f t="shared" si="3"/>
        <v>1</v>
      </c>
      <c r="C29" s="322">
        <f t="shared" si="2"/>
        <v>0.15915494309189535</v>
      </c>
      <c r="D29" s="322">
        <f t="shared" si="2"/>
        <v>0.20674833578317209</v>
      </c>
      <c r="E29" s="322">
        <f t="shared" si="2"/>
        <v>0.23036198922913867</v>
      </c>
    </row>
    <row r="30" spans="2:5">
      <c r="B30" s="318">
        <f t="shared" si="3"/>
        <v>1.25</v>
      </c>
      <c r="C30" s="322">
        <f t="shared" si="2"/>
        <v>0.12421849216928418</v>
      </c>
      <c r="D30" s="322">
        <f t="shared" si="2"/>
        <v>0.15891183774964773</v>
      </c>
      <c r="E30" s="322">
        <f t="shared" si="2"/>
        <v>0.17509993580741329</v>
      </c>
    </row>
    <row r="31" spans="2:5">
      <c r="B31" s="318">
        <f t="shared" si="3"/>
        <v>1.5</v>
      </c>
      <c r="C31" s="322">
        <f t="shared" si="2"/>
        <v>9.7941503441166353E-2</v>
      </c>
      <c r="D31" s="322">
        <f t="shared" si="2"/>
        <v>0.1200171745135874</v>
      </c>
      <c r="E31" s="322">
        <f t="shared" si="2"/>
        <v>0.12744479428709171</v>
      </c>
    </row>
    <row r="32" spans="2:5">
      <c r="B32" s="318">
        <f t="shared" si="3"/>
        <v>1.75</v>
      </c>
      <c r="C32" s="322">
        <f t="shared" si="2"/>
        <v>7.8353202752933102E-2</v>
      </c>
      <c r="D32" s="322">
        <f t="shared" si="2"/>
        <v>9.0003314206384633E-2</v>
      </c>
      <c r="E32" s="322">
        <f t="shared" si="2"/>
        <v>8.9521205019562067E-2</v>
      </c>
    </row>
    <row r="33" spans="2:5">
      <c r="B33" s="318">
        <f t="shared" si="3"/>
        <v>2</v>
      </c>
      <c r="C33" s="322">
        <f t="shared" si="2"/>
        <v>6.3661977236758135E-2</v>
      </c>
      <c r="D33" s="322">
        <f t="shared" si="2"/>
        <v>6.7509660663892967E-2</v>
      </c>
      <c r="E33" s="322">
        <f t="shared" si="2"/>
        <v>6.1145766321218181E-2</v>
      </c>
    </row>
    <row r="34" spans="2:5">
      <c r="B34" s="318">
        <f t="shared" si="3"/>
        <v>2.25</v>
      </c>
      <c r="C34" s="322">
        <f t="shared" si="2"/>
        <v>5.2504723494233518E-2</v>
      </c>
      <c r="D34" s="322">
        <f t="shared" si="2"/>
        <v>5.0888839815388075E-2</v>
      </c>
      <c r="E34" s="322">
        <f t="shared" si="2"/>
        <v>4.0891849988948951E-2</v>
      </c>
    </row>
    <row r="35" spans="2:5">
      <c r="B35" s="318">
        <f t="shared" si="3"/>
        <v>2.5</v>
      </c>
      <c r="C35" s="322">
        <f t="shared" si="2"/>
        <v>4.3904811887419404E-2</v>
      </c>
      <c r="D35" s="322">
        <f t="shared" si="2"/>
        <v>3.8661485727167301E-2</v>
      </c>
      <c r="E35" s="322">
        <f t="shared" si="2"/>
        <v>2.6938727628244463E-2</v>
      </c>
    </row>
    <row r="36" spans="2:5">
      <c r="B36" s="318">
        <f t="shared" si="3"/>
        <v>2.75</v>
      </c>
      <c r="C36" s="322">
        <f t="shared" si="2"/>
        <v>3.7174877218544893E-2</v>
      </c>
      <c r="D36" s="322">
        <f t="shared" si="2"/>
        <v>2.9650263764149469E-2</v>
      </c>
      <c r="E36" s="322">
        <f t="shared" si="2"/>
        <v>1.757299290172061E-2</v>
      </c>
    </row>
    <row r="37" spans="2:5">
      <c r="B37" s="318">
        <f t="shared" si="3"/>
        <v>3</v>
      </c>
      <c r="C37" s="322">
        <f t="shared" si="2"/>
        <v>3.1830988618379068E-2</v>
      </c>
      <c r="D37" s="322">
        <f t="shared" si="2"/>
        <v>2.2972037309241342E-2</v>
      </c>
      <c r="E37" s="322">
        <f t="shared" si="2"/>
        <v>1.1400549464542524E-2</v>
      </c>
    </row>
    <row r="38" spans="2:5">
      <c r="B38" s="318">
        <f t="shared" si="3"/>
        <v>3.25</v>
      </c>
      <c r="C38" s="322">
        <f t="shared" si="2"/>
        <v>2.7529503669949468E-2</v>
      </c>
      <c r="D38" s="322">
        <f t="shared" si="2"/>
        <v>1.79838430072389E-2</v>
      </c>
      <c r="E38" s="322">
        <f t="shared" si="2"/>
        <v>7.3816432867555527E-3</v>
      </c>
    </row>
    <row r="39" spans="2:5">
      <c r="B39" s="318">
        <f t="shared" si="3"/>
        <v>3.5</v>
      </c>
      <c r="C39" s="322">
        <f t="shared" si="2"/>
        <v>2.4023387636512503E-2</v>
      </c>
      <c r="D39" s="322">
        <f t="shared" si="2"/>
        <v>1.422401880152971E-2</v>
      </c>
      <c r="E39" s="322">
        <f t="shared" si="2"/>
        <v>4.7836071267013227E-3</v>
      </c>
    </row>
    <row r="40" spans="2:5">
      <c r="B40" s="318">
        <f t="shared" si="3"/>
        <v>3.75</v>
      </c>
      <c r="C40" s="322">
        <f t="shared" ref="C40:E41" si="4">_xlfn.T.DIST($B40,C$6,FALSE)</f>
        <v>2.1132606551620955E-2</v>
      </c>
      <c r="D40" s="322">
        <f t="shared" si="4"/>
        <v>1.1362572735014193E-2</v>
      </c>
      <c r="E40" s="322">
        <f t="shared" si="4"/>
        <v>3.1095423842434468E-3</v>
      </c>
    </row>
    <row r="41" spans="2:5">
      <c r="B41" s="318">
        <f t="shared" si="3"/>
        <v>4</v>
      </c>
      <c r="C41" s="322">
        <f t="shared" si="4"/>
        <v>1.8724110951987685E-2</v>
      </c>
      <c r="D41" s="322">
        <f t="shared" si="4"/>
        <v>9.1633611427444726E-3</v>
      </c>
      <c r="E41" s="322">
        <f t="shared" si="4"/>
        <v>2.0310339110412167E-3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FC90-2E83-4A38-BEB0-798AC5569C2A}">
  <sheetPr codeName="Sheet43"/>
  <dimension ref="A1:E41"/>
  <sheetViews>
    <sheetView showGridLines="0" workbookViewId="0"/>
  </sheetViews>
  <sheetFormatPr defaultColWidth="9.109375" defaultRowHeight="14.4"/>
  <cols>
    <col min="1" max="16384" width="9.109375" style="318"/>
  </cols>
  <sheetData>
    <row r="1" spans="1:5" s="317" customFormat="1">
      <c r="A1" s="316" t="s">
        <v>326</v>
      </c>
    </row>
    <row r="2" spans="1:5" s="317" customFormat="1"/>
    <row r="5" spans="1:5">
      <c r="B5" s="319" t="s">
        <v>327</v>
      </c>
      <c r="C5" s="335">
        <v>2</v>
      </c>
      <c r="D5" s="335">
        <v>4</v>
      </c>
      <c r="E5" s="335">
        <v>64</v>
      </c>
    </row>
    <row r="6" spans="1:5">
      <c r="B6" s="319" t="s">
        <v>328</v>
      </c>
      <c r="C6" s="336">
        <v>2</v>
      </c>
      <c r="D6" s="336">
        <v>2</v>
      </c>
      <c r="E6" s="336">
        <v>64</v>
      </c>
    </row>
    <row r="8" spans="1:5">
      <c r="B8" s="319" t="s">
        <v>11</v>
      </c>
      <c r="C8" s="319" t="str">
        <f>"k1= "&amp;C5&amp;", k2= "&amp;C6</f>
        <v>k1= 2, k2= 2</v>
      </c>
      <c r="D8" s="319" t="str">
        <f t="shared" ref="D8:E8" si="0">"k1= "&amp;D5&amp;", k2= "&amp;D6</f>
        <v>k1= 4, k2= 2</v>
      </c>
      <c r="E8" s="319" t="str">
        <f t="shared" si="0"/>
        <v>k1= 64, k2= 64</v>
      </c>
    </row>
    <row r="9" spans="1:5">
      <c r="B9" s="333">
        <v>1.0000000000000001E-5</v>
      </c>
      <c r="C9" s="322">
        <f>_xlfn.F.DIST($B9,C$5,C$6,FALSE)</f>
        <v>0.99998000029999556</v>
      </c>
      <c r="D9" s="322">
        <f t="shared" ref="D9:E24" si="1">_xlfn.F.DIST($B9,D$5,D$6,FALSE)</f>
        <v>7.9995200191993566E-5</v>
      </c>
      <c r="E9" s="322">
        <f t="shared" si="1"/>
        <v>2.9303226281509433E-136</v>
      </c>
    </row>
    <row r="10" spans="1:5">
      <c r="B10" s="333">
        <v>0.1</v>
      </c>
      <c r="C10" s="322">
        <f t="shared" ref="C10:E41" si="2">_xlfn.F.DIST($B10,C$5,C$6,FALSE)</f>
        <v>0.82644628099173567</v>
      </c>
      <c r="D10" s="322">
        <f t="shared" si="1"/>
        <v>0.4629629629629633</v>
      </c>
      <c r="E10" s="322">
        <f t="shared" si="1"/>
        <v>6.5775102828576619E-15</v>
      </c>
    </row>
    <row r="11" spans="1:5">
      <c r="B11" s="333">
        <f>B10+0.1</f>
        <v>0.2</v>
      </c>
      <c r="C11" s="322">
        <f t="shared" si="2"/>
        <v>0.69444444444444464</v>
      </c>
      <c r="D11" s="322">
        <f t="shared" si="1"/>
        <v>0.5830903790087465</v>
      </c>
      <c r="E11" s="322">
        <f t="shared" si="1"/>
        <v>5.3891901131633561E-8</v>
      </c>
    </row>
    <row r="12" spans="1:5">
      <c r="B12" s="333">
        <f t="shared" ref="B12:B41" si="3">B11+0.1</f>
        <v>0.30000000000000004</v>
      </c>
      <c r="C12" s="322">
        <f t="shared" si="2"/>
        <v>0.59171597633136086</v>
      </c>
      <c r="D12" s="322">
        <f t="shared" si="1"/>
        <v>0.5859375</v>
      </c>
      <c r="E12" s="322">
        <f t="shared" si="1"/>
        <v>9.2379952478749373E-5</v>
      </c>
    </row>
    <row r="13" spans="1:5">
      <c r="B13" s="333">
        <f t="shared" si="3"/>
        <v>0.4</v>
      </c>
      <c r="C13" s="322">
        <f t="shared" si="2"/>
        <v>0.51020408163265318</v>
      </c>
      <c r="D13" s="322">
        <f t="shared" si="1"/>
        <v>0.54869684499314153</v>
      </c>
      <c r="E13" s="322">
        <f t="shared" si="1"/>
        <v>6.009783591185593E-3</v>
      </c>
    </row>
    <row r="14" spans="1:5">
      <c r="B14" s="333">
        <f t="shared" si="3"/>
        <v>0.5</v>
      </c>
      <c r="C14" s="322">
        <f t="shared" si="2"/>
        <v>0.44444444444444442</v>
      </c>
      <c r="D14" s="322">
        <f t="shared" si="1"/>
        <v>0.50000000000000022</v>
      </c>
      <c r="E14" s="322">
        <f t="shared" si="1"/>
        <v>7.3353854699765408E-2</v>
      </c>
    </row>
    <row r="15" spans="1:5">
      <c r="B15" s="333">
        <f t="shared" si="3"/>
        <v>0.6</v>
      </c>
      <c r="C15" s="322">
        <f t="shared" si="2"/>
        <v>0.39062499999999994</v>
      </c>
      <c r="D15" s="322">
        <f t="shared" si="1"/>
        <v>0.45078888054094673</v>
      </c>
      <c r="E15" s="322">
        <f t="shared" si="1"/>
        <v>0.33589478235198222</v>
      </c>
    </row>
    <row r="16" spans="1:5">
      <c r="B16" s="333">
        <f t="shared" si="3"/>
        <v>0.7</v>
      </c>
      <c r="C16" s="322">
        <f t="shared" si="2"/>
        <v>0.34602076124567471</v>
      </c>
      <c r="D16" s="322">
        <f t="shared" si="1"/>
        <v>0.40509259259259256</v>
      </c>
      <c r="E16" s="322">
        <f t="shared" si="1"/>
        <v>0.82509063553377082</v>
      </c>
    </row>
    <row r="17" spans="2:5">
      <c r="B17" s="333">
        <f t="shared" si="3"/>
        <v>0.79999999999999993</v>
      </c>
      <c r="C17" s="322">
        <f t="shared" si="2"/>
        <v>0.30864197530864196</v>
      </c>
      <c r="D17" s="322">
        <f t="shared" si="1"/>
        <v>0.36413290851160679</v>
      </c>
      <c r="E17" s="322">
        <f t="shared" si="1"/>
        <v>1.3351887240289879</v>
      </c>
    </row>
    <row r="18" spans="2:5">
      <c r="B18" s="333">
        <f t="shared" si="3"/>
        <v>0.89999999999999991</v>
      </c>
      <c r="C18" s="322">
        <f t="shared" si="2"/>
        <v>0.27700831024930755</v>
      </c>
      <c r="D18" s="322">
        <f t="shared" si="1"/>
        <v>0.32798833819241996</v>
      </c>
      <c r="E18" s="322">
        <f t="shared" si="1"/>
        <v>1.6161464681530715</v>
      </c>
    </row>
    <row r="19" spans="2:5">
      <c r="B19" s="333">
        <f t="shared" si="3"/>
        <v>0.99999999999999989</v>
      </c>
      <c r="C19" s="322">
        <f t="shared" si="2"/>
        <v>0.24999999999999994</v>
      </c>
      <c r="D19" s="322">
        <f t="shared" si="1"/>
        <v>0.29629629629629634</v>
      </c>
      <c r="E19" s="322">
        <f t="shared" si="1"/>
        <v>1.5895480599674645</v>
      </c>
    </row>
    <row r="20" spans="2:5">
      <c r="B20" s="333">
        <f t="shared" si="3"/>
        <v>1.0999999999999999</v>
      </c>
      <c r="C20" s="322">
        <f t="shared" si="2"/>
        <v>0.22675736961451251</v>
      </c>
      <c r="D20" s="322">
        <f t="shared" si="1"/>
        <v>0.26855468750000011</v>
      </c>
      <c r="E20" s="322">
        <f t="shared" si="1"/>
        <v>1.3437911072997772</v>
      </c>
    </row>
    <row r="21" spans="2:5">
      <c r="B21" s="333">
        <f t="shared" si="3"/>
        <v>1.2</v>
      </c>
      <c r="C21" s="322">
        <f t="shared" si="2"/>
        <v>0.20661157024793386</v>
      </c>
      <c r="D21" s="322">
        <f t="shared" si="1"/>
        <v>0.24424994911459397</v>
      </c>
      <c r="E21" s="322">
        <f t="shared" si="1"/>
        <v>1.0156882788763104</v>
      </c>
    </row>
    <row r="22" spans="2:5">
      <c r="B22" s="333">
        <f t="shared" si="3"/>
        <v>1.3</v>
      </c>
      <c r="C22" s="322">
        <f t="shared" si="2"/>
        <v>0.1890359168241966</v>
      </c>
      <c r="D22" s="322">
        <f t="shared" si="1"/>
        <v>0.22290809327846364</v>
      </c>
      <c r="E22" s="322">
        <f t="shared" si="1"/>
        <v>0.70608307622594557</v>
      </c>
    </row>
    <row r="23" spans="2:5">
      <c r="B23" s="333">
        <f t="shared" si="3"/>
        <v>1.4000000000000001</v>
      </c>
      <c r="C23" s="322">
        <f t="shared" si="2"/>
        <v>0.17361111111111113</v>
      </c>
      <c r="D23" s="322">
        <f t="shared" si="1"/>
        <v>0.20411138649948973</v>
      </c>
      <c r="E23" s="322">
        <f t="shared" si="1"/>
        <v>0.46093854046286048</v>
      </c>
    </row>
    <row r="24" spans="2:5">
      <c r="B24" s="333">
        <f t="shared" si="3"/>
        <v>1.5000000000000002</v>
      </c>
      <c r="C24" s="322">
        <f t="shared" si="2"/>
        <v>0.15999999999999995</v>
      </c>
      <c r="D24" s="322">
        <f t="shared" si="1"/>
        <v>0.18749999999999994</v>
      </c>
      <c r="E24" s="322">
        <f t="shared" si="1"/>
        <v>0.28698676021492542</v>
      </c>
    </row>
    <row r="25" spans="2:5">
      <c r="B25" s="333">
        <f t="shared" si="3"/>
        <v>1.6000000000000003</v>
      </c>
      <c r="C25" s="322">
        <f t="shared" si="2"/>
        <v>0.14792899408284016</v>
      </c>
      <c r="D25" s="322">
        <f t="shared" si="2"/>
        <v>0.17276751970629523</v>
      </c>
      <c r="E25" s="322">
        <f t="shared" si="2"/>
        <v>0.17243228289914311</v>
      </c>
    </row>
    <row r="26" spans="2:5">
      <c r="B26" s="333">
        <f t="shared" si="3"/>
        <v>1.7000000000000004</v>
      </c>
      <c r="C26" s="322">
        <f t="shared" si="2"/>
        <v>0.13717421124828527</v>
      </c>
      <c r="D26" s="322">
        <f t="shared" si="2"/>
        <v>0.15965439519158522</v>
      </c>
      <c r="E26" s="322">
        <f t="shared" si="2"/>
        <v>0.10088556774560903</v>
      </c>
    </row>
    <row r="27" spans="2:5">
      <c r="B27" s="333">
        <f t="shared" si="3"/>
        <v>1.8000000000000005</v>
      </c>
      <c r="C27" s="322">
        <f t="shared" si="2"/>
        <v>0.12755102040816318</v>
      </c>
      <c r="D27" s="322">
        <f t="shared" si="2"/>
        <v>0.14794115229719734</v>
      </c>
      <c r="E27" s="322">
        <f t="shared" si="2"/>
        <v>5.7879802180465519E-2</v>
      </c>
    </row>
    <row r="28" spans="2:5">
      <c r="B28" s="333">
        <f t="shared" si="3"/>
        <v>1.9000000000000006</v>
      </c>
      <c r="C28" s="322">
        <f t="shared" si="2"/>
        <v>0.11890606420927462</v>
      </c>
      <c r="D28" s="322">
        <f t="shared" si="2"/>
        <v>0.13744212962962962</v>
      </c>
      <c r="E28" s="322">
        <f t="shared" si="2"/>
        <v>3.2740337338945769E-2</v>
      </c>
    </row>
    <row r="29" spans="2:5">
      <c r="B29" s="333">
        <f t="shared" si="3"/>
        <v>2.0000000000000004</v>
      </c>
      <c r="C29" s="322">
        <f t="shared" si="2"/>
        <v>0.11111111111111106</v>
      </c>
      <c r="D29" s="322">
        <f t="shared" si="2"/>
        <v>0.12799999999999997</v>
      </c>
      <c r="E29" s="322">
        <f t="shared" si="2"/>
        <v>1.833846367494122E-2</v>
      </c>
    </row>
    <row r="30" spans="2:5">
      <c r="B30" s="333">
        <f t="shared" si="3"/>
        <v>2.1000000000000005</v>
      </c>
      <c r="C30" s="322">
        <f t="shared" si="2"/>
        <v>0.10405827263267425</v>
      </c>
      <c r="D30" s="322">
        <f t="shared" si="2"/>
        <v>0.11948111060537095</v>
      </c>
      <c r="E30" s="322">
        <f t="shared" si="2"/>
        <v>1.0205707501982027E-2</v>
      </c>
    </row>
    <row r="31" spans="2:5">
      <c r="B31" s="333">
        <f t="shared" si="3"/>
        <v>2.2000000000000006</v>
      </c>
      <c r="C31" s="322">
        <f t="shared" si="2"/>
        <v>9.7656249999999958E-2</v>
      </c>
      <c r="D31" s="322">
        <f t="shared" si="2"/>
        <v>0.11177157953563988</v>
      </c>
      <c r="E31" s="322">
        <f t="shared" si="2"/>
        <v>5.6584551618726964E-3</v>
      </c>
    </row>
    <row r="32" spans="2:5">
      <c r="B32" s="333">
        <f t="shared" si="3"/>
        <v>2.3000000000000007</v>
      </c>
      <c r="C32" s="322">
        <f t="shared" si="2"/>
        <v>9.1827364554637234E-2</v>
      </c>
      <c r="D32" s="322">
        <f t="shared" si="2"/>
        <v>0.10477405247813407</v>
      </c>
      <c r="E32" s="322">
        <f t="shared" si="2"/>
        <v>3.1323057678332073E-3</v>
      </c>
    </row>
    <row r="33" spans="2:5">
      <c r="B33" s="333">
        <f t="shared" si="3"/>
        <v>2.4000000000000008</v>
      </c>
      <c r="C33" s="322">
        <f t="shared" si="2"/>
        <v>8.6505190311418637E-2</v>
      </c>
      <c r="D33" s="322">
        <f t="shared" si="2"/>
        <v>9.8405018655951415E-2</v>
      </c>
      <c r="E33" s="322">
        <f t="shared" si="2"/>
        <v>1.7341680803095961E-3</v>
      </c>
    </row>
    <row r="34" spans="2:5">
      <c r="B34" s="333">
        <f t="shared" si="3"/>
        <v>2.5000000000000009</v>
      </c>
      <c r="C34" s="322">
        <f t="shared" si="2"/>
        <v>8.1632653061224442E-2</v>
      </c>
      <c r="D34" s="322">
        <f t="shared" si="2"/>
        <v>9.259259259259256E-2</v>
      </c>
      <c r="E34" s="322">
        <f t="shared" si="2"/>
        <v>9.6156537458968083E-4</v>
      </c>
    </row>
    <row r="35" spans="2:5">
      <c r="B35" s="333">
        <f t="shared" si="3"/>
        <v>2.600000000000001</v>
      </c>
      <c r="C35" s="322">
        <f t="shared" si="2"/>
        <v>7.7160493827160434E-2</v>
      </c>
      <c r="D35" s="322">
        <f t="shared" si="2"/>
        <v>8.7274680272565505E-2</v>
      </c>
      <c r="E35" s="322">
        <f t="shared" si="2"/>
        <v>5.3457312803809889E-4</v>
      </c>
    </row>
    <row r="36" spans="2:5">
      <c r="B36" s="333">
        <f t="shared" si="3"/>
        <v>2.7000000000000011</v>
      </c>
      <c r="C36" s="322">
        <f t="shared" si="2"/>
        <v>7.3046018991964889E-2</v>
      </c>
      <c r="D36" s="322">
        <f t="shared" si="2"/>
        <v>8.2397460937499958E-2</v>
      </c>
      <c r="E36" s="322">
        <f t="shared" si="2"/>
        <v>2.9823577242585759E-4</v>
      </c>
    </row>
    <row r="37" spans="2:5">
      <c r="B37" s="333">
        <f t="shared" si="3"/>
        <v>2.8000000000000012</v>
      </c>
      <c r="C37" s="322">
        <f t="shared" si="2"/>
        <v>6.9252077562326833E-2</v>
      </c>
      <c r="D37" s="322">
        <f t="shared" si="2"/>
        <v>7.7914127500904318E-2</v>
      </c>
      <c r="E37" s="322">
        <f t="shared" si="2"/>
        <v>1.6708681244699924E-4</v>
      </c>
    </row>
    <row r="38" spans="2:5">
      <c r="B38" s="333">
        <f t="shared" si="3"/>
        <v>2.9000000000000012</v>
      </c>
      <c r="C38" s="322">
        <f t="shared" si="2"/>
        <v>6.5746219592373395E-2</v>
      </c>
      <c r="D38" s="322">
        <f t="shared" si="2"/>
        <v>7.3783838795033543E-2</v>
      </c>
      <c r="E38" s="322">
        <f t="shared" si="2"/>
        <v>9.4058158340640282E-5</v>
      </c>
    </row>
    <row r="39" spans="2:5">
      <c r="B39" s="333">
        <f t="shared" si="3"/>
        <v>3.0000000000000013</v>
      </c>
      <c r="C39" s="322">
        <f t="shared" si="2"/>
        <v>6.2499999999999944E-2</v>
      </c>
      <c r="D39" s="322">
        <f t="shared" si="2"/>
        <v>6.997084548104951E-2</v>
      </c>
      <c r="E39" s="322">
        <f t="shared" si="2"/>
        <v>5.3224652807752276E-5</v>
      </c>
    </row>
    <row r="40" spans="2:5">
      <c r="B40" s="333">
        <f t="shared" si="3"/>
        <v>3.1000000000000014</v>
      </c>
      <c r="C40" s="322">
        <f t="shared" si="2"/>
        <v>5.9488399762046354E-2</v>
      </c>
      <c r="D40" s="322">
        <f t="shared" si="2"/>
        <v>6.6443758573388162E-2</v>
      </c>
      <c r="E40" s="322">
        <f t="shared" si="2"/>
        <v>3.0285801017031617E-5</v>
      </c>
    </row>
    <row r="41" spans="2:5">
      <c r="B41" s="333">
        <f t="shared" si="3"/>
        <v>3.2000000000000015</v>
      </c>
      <c r="C41" s="322">
        <f t="shared" si="2"/>
        <v>5.6689342403628086E-2</v>
      </c>
      <c r="D41" s="322">
        <f t="shared" si="2"/>
        <v>6.3174935344402078E-2</v>
      </c>
      <c r="E41" s="322">
        <f t="shared" si="2"/>
        <v>1.7333574375138775E-5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B5E0-8D30-417F-AF0C-D39B4D88C92B}">
  <sheetPr codeName="Sheet44"/>
  <dimension ref="A1:E30"/>
  <sheetViews>
    <sheetView showGridLines="0" workbookViewId="0"/>
  </sheetViews>
  <sheetFormatPr defaultColWidth="9.109375" defaultRowHeight="14.4"/>
  <cols>
    <col min="1" max="16384" width="9.109375" style="318"/>
  </cols>
  <sheetData>
    <row r="1" spans="1:5" s="317" customFormat="1">
      <c r="A1" s="316" t="s">
        <v>329</v>
      </c>
    </row>
    <row r="2" spans="1:5" s="317" customFormat="1"/>
    <row r="5" spans="1:5">
      <c r="B5" s="319" t="s">
        <v>265</v>
      </c>
      <c r="C5" s="335">
        <v>0</v>
      </c>
    </row>
    <row r="6" spans="1:5">
      <c r="B6" s="319" t="s">
        <v>330</v>
      </c>
      <c r="C6" s="336">
        <v>1</v>
      </c>
    </row>
    <row r="7" spans="1:5">
      <c r="B7" s="319" t="s">
        <v>331</v>
      </c>
      <c r="C7" s="336">
        <v>0.8</v>
      </c>
    </row>
    <row r="9" spans="1:5">
      <c r="B9" s="319" t="s">
        <v>11</v>
      </c>
      <c r="C9" s="319" t="str">
        <f>"a= "&amp;C5&amp;", b= "&amp;C6</f>
        <v>a= 0, b= 1</v>
      </c>
      <c r="D9" s="319" t="str">
        <f>"a= "&amp;D5&amp;", b= "&amp;D6</f>
        <v xml:space="preserve">a= , b= </v>
      </c>
      <c r="E9" s="319" t="str">
        <f>"a= "&amp;C5&amp;", b= "&amp;C6&amp;", c= "&amp;C7</f>
        <v>a= 0, b= 1, c= 0.8</v>
      </c>
    </row>
    <row r="10" spans="1:5">
      <c r="B10" s="333">
        <v>1.0000000000000001E-5</v>
      </c>
      <c r="C10" s="322">
        <f>2*(B10-$C$5)/(($C$6-$C$5)*($C$7-$C$5))</f>
        <v>2.5000000000000001E-5</v>
      </c>
      <c r="D10" s="322">
        <f>2*($C$6-B10)/(($C$6-$C$5)*($C$6-$C$7))</f>
        <v>9.999900000000002</v>
      </c>
      <c r="E10" s="322">
        <f>_xlfn.IFS(AND(B10&gt;=$C$5,B10&lt;=$C$7),C10,AND(B10&gt;$C$7,B10&lt;=$C$6),D10)</f>
        <v>2.5000000000000001E-5</v>
      </c>
    </row>
    <row r="11" spans="1:5">
      <c r="B11" s="333">
        <f>B10+0.05</f>
        <v>5.0010000000000006E-2</v>
      </c>
      <c r="C11" s="322">
        <f t="shared" ref="C11:C30" si="0">2*(B11-$C$5)/(($C$6-$C$5)*($C$7-$C$5))</f>
        <v>0.125025</v>
      </c>
      <c r="D11" s="322">
        <f t="shared" ref="D11:D30" si="1">2*($C$6-B11)/(($C$6-$C$5)*($C$6-$C$7))</f>
        <v>9.499900000000002</v>
      </c>
      <c r="E11" s="322">
        <f t="shared" ref="E11:E30" si="2">_xlfn.IFS(AND(B11&gt;=$C$5,B11&lt;=$C$7),C11,AND(B11&gt;$C$7,B11&lt;=$C$6),D11)</f>
        <v>0.125025</v>
      </c>
    </row>
    <row r="12" spans="1:5">
      <c r="B12" s="333">
        <f t="shared" ref="B12:B29" si="3">B11+0.05</f>
        <v>0.10001000000000002</v>
      </c>
      <c r="C12" s="322">
        <f t="shared" si="0"/>
        <v>0.25002500000000005</v>
      </c>
      <c r="D12" s="322">
        <f t="shared" si="1"/>
        <v>8.999900000000002</v>
      </c>
      <c r="E12" s="322">
        <f t="shared" si="2"/>
        <v>0.25002500000000005</v>
      </c>
    </row>
    <row r="13" spans="1:5">
      <c r="B13" s="333">
        <f t="shared" si="3"/>
        <v>0.15001000000000003</v>
      </c>
      <c r="C13" s="322">
        <f t="shared" si="0"/>
        <v>0.37502500000000005</v>
      </c>
      <c r="D13" s="322">
        <f t="shared" si="1"/>
        <v>8.499900000000002</v>
      </c>
      <c r="E13" s="322">
        <f t="shared" si="2"/>
        <v>0.37502500000000005</v>
      </c>
    </row>
    <row r="14" spans="1:5">
      <c r="B14" s="333">
        <f t="shared" si="3"/>
        <v>0.20001000000000002</v>
      </c>
      <c r="C14" s="322">
        <f t="shared" si="0"/>
        <v>0.50002500000000005</v>
      </c>
      <c r="D14" s="322">
        <f t="shared" si="1"/>
        <v>7.999900000000002</v>
      </c>
      <c r="E14" s="322">
        <f t="shared" si="2"/>
        <v>0.50002500000000005</v>
      </c>
    </row>
    <row r="15" spans="1:5">
      <c r="B15" s="333">
        <f t="shared" si="3"/>
        <v>0.25001000000000001</v>
      </c>
      <c r="C15" s="322">
        <f t="shared" si="0"/>
        <v>0.62502499999999994</v>
      </c>
      <c r="D15" s="322">
        <f t="shared" si="1"/>
        <v>7.4999000000000011</v>
      </c>
      <c r="E15" s="322">
        <f t="shared" si="2"/>
        <v>0.62502499999999994</v>
      </c>
    </row>
    <row r="16" spans="1:5">
      <c r="B16" s="333">
        <f t="shared" si="3"/>
        <v>0.30001</v>
      </c>
      <c r="C16" s="322">
        <f t="shared" si="0"/>
        <v>0.75002499999999994</v>
      </c>
      <c r="D16" s="322">
        <f t="shared" si="1"/>
        <v>6.999900000000002</v>
      </c>
      <c r="E16" s="322">
        <f t="shared" si="2"/>
        <v>0.75002499999999994</v>
      </c>
    </row>
    <row r="17" spans="2:5">
      <c r="B17" s="333">
        <f t="shared" si="3"/>
        <v>0.35000999999999999</v>
      </c>
      <c r="C17" s="322">
        <f t="shared" si="0"/>
        <v>0.87502499999999994</v>
      </c>
      <c r="D17" s="322">
        <f t="shared" si="1"/>
        <v>6.499900000000002</v>
      </c>
      <c r="E17" s="322">
        <f t="shared" si="2"/>
        <v>0.87502499999999994</v>
      </c>
    </row>
    <row r="18" spans="2:5">
      <c r="B18" s="333">
        <f t="shared" si="3"/>
        <v>0.40000999999999998</v>
      </c>
      <c r="C18" s="322">
        <f t="shared" si="0"/>
        <v>1.0000249999999999</v>
      </c>
      <c r="D18" s="322">
        <f t="shared" si="1"/>
        <v>5.999900000000002</v>
      </c>
      <c r="E18" s="322">
        <f t="shared" si="2"/>
        <v>1.0000249999999999</v>
      </c>
    </row>
    <row r="19" spans="2:5">
      <c r="B19" s="333">
        <f t="shared" si="3"/>
        <v>0.45000999999999997</v>
      </c>
      <c r="C19" s="322">
        <f t="shared" si="0"/>
        <v>1.1250249999999999</v>
      </c>
      <c r="D19" s="322">
        <f t="shared" si="1"/>
        <v>5.4999000000000011</v>
      </c>
      <c r="E19" s="322">
        <f t="shared" si="2"/>
        <v>1.1250249999999999</v>
      </c>
    </row>
    <row r="20" spans="2:5">
      <c r="B20" s="333">
        <f t="shared" si="3"/>
        <v>0.50000999999999995</v>
      </c>
      <c r="C20" s="322">
        <f t="shared" si="0"/>
        <v>1.2500249999999997</v>
      </c>
      <c r="D20" s="322">
        <f t="shared" si="1"/>
        <v>4.999900000000002</v>
      </c>
      <c r="E20" s="322">
        <f t="shared" si="2"/>
        <v>1.2500249999999997</v>
      </c>
    </row>
    <row r="21" spans="2:5">
      <c r="B21" s="333">
        <f t="shared" si="3"/>
        <v>0.55001</v>
      </c>
      <c r="C21" s="322">
        <f t="shared" si="0"/>
        <v>1.3750249999999999</v>
      </c>
      <c r="D21" s="322">
        <f t="shared" si="1"/>
        <v>4.4999000000000011</v>
      </c>
      <c r="E21" s="322">
        <f t="shared" si="2"/>
        <v>1.3750249999999999</v>
      </c>
    </row>
    <row r="22" spans="2:5">
      <c r="B22" s="333">
        <f t="shared" si="3"/>
        <v>0.60001000000000004</v>
      </c>
      <c r="C22" s="322">
        <f t="shared" si="0"/>
        <v>1.5000249999999999</v>
      </c>
      <c r="D22" s="322">
        <f t="shared" si="1"/>
        <v>3.9999000000000002</v>
      </c>
      <c r="E22" s="322">
        <f t="shared" si="2"/>
        <v>1.5000249999999999</v>
      </c>
    </row>
    <row r="23" spans="2:5">
      <c r="B23" s="333">
        <f t="shared" si="3"/>
        <v>0.65001000000000009</v>
      </c>
      <c r="C23" s="322">
        <f t="shared" si="0"/>
        <v>1.6250250000000002</v>
      </c>
      <c r="D23" s="322">
        <f t="shared" si="1"/>
        <v>3.4998999999999998</v>
      </c>
      <c r="E23" s="322">
        <f t="shared" si="2"/>
        <v>1.6250250000000002</v>
      </c>
    </row>
    <row r="24" spans="2:5">
      <c r="B24" s="333">
        <f t="shared" si="3"/>
        <v>0.70001000000000013</v>
      </c>
      <c r="C24" s="322">
        <f t="shared" si="0"/>
        <v>1.7500250000000002</v>
      </c>
      <c r="D24" s="322">
        <f t="shared" si="1"/>
        <v>2.9998999999999993</v>
      </c>
      <c r="E24" s="322">
        <f t="shared" si="2"/>
        <v>1.7500250000000002</v>
      </c>
    </row>
    <row r="25" spans="2:5">
      <c r="B25" s="333">
        <f t="shared" si="3"/>
        <v>0.75001000000000018</v>
      </c>
      <c r="C25" s="322">
        <f t="shared" si="0"/>
        <v>1.8750250000000004</v>
      </c>
      <c r="D25" s="322">
        <f t="shared" si="1"/>
        <v>2.4998999999999989</v>
      </c>
      <c r="E25" s="322">
        <f t="shared" si="2"/>
        <v>1.8750250000000004</v>
      </c>
    </row>
    <row r="26" spans="2:5">
      <c r="B26" s="333">
        <f t="shared" si="3"/>
        <v>0.80001000000000022</v>
      </c>
      <c r="C26" s="322">
        <f t="shared" si="0"/>
        <v>2.0000250000000004</v>
      </c>
      <c r="D26" s="322">
        <f t="shared" si="1"/>
        <v>1.9998999999999982</v>
      </c>
      <c r="E26" s="322">
        <f t="shared" si="2"/>
        <v>1.9998999999999982</v>
      </c>
    </row>
    <row r="27" spans="2:5">
      <c r="B27" s="333">
        <f t="shared" si="3"/>
        <v>0.85001000000000027</v>
      </c>
      <c r="C27" s="322">
        <f t="shared" si="0"/>
        <v>2.1250250000000004</v>
      </c>
      <c r="D27" s="322">
        <f t="shared" si="1"/>
        <v>1.4998999999999976</v>
      </c>
      <c r="E27" s="322">
        <f t="shared" si="2"/>
        <v>1.4998999999999976</v>
      </c>
    </row>
    <row r="28" spans="2:5">
      <c r="B28" s="333">
        <f t="shared" si="3"/>
        <v>0.90001000000000031</v>
      </c>
      <c r="C28" s="322">
        <f t="shared" si="0"/>
        <v>2.2500250000000008</v>
      </c>
      <c r="D28" s="322">
        <f t="shared" si="1"/>
        <v>0.99989999999999712</v>
      </c>
      <c r="E28" s="322">
        <f t="shared" si="2"/>
        <v>0.99989999999999712</v>
      </c>
    </row>
    <row r="29" spans="2:5">
      <c r="B29" s="333">
        <f t="shared" si="3"/>
        <v>0.95001000000000035</v>
      </c>
      <c r="C29" s="322">
        <f t="shared" si="0"/>
        <v>2.3750250000000008</v>
      </c>
      <c r="D29" s="322">
        <f t="shared" si="1"/>
        <v>0.49989999999999657</v>
      </c>
      <c r="E29" s="322">
        <f t="shared" si="2"/>
        <v>0.49989999999999657</v>
      </c>
    </row>
    <row r="30" spans="2:5">
      <c r="B30" s="333">
        <v>0.99999000000000005</v>
      </c>
      <c r="C30" s="322">
        <f t="shared" si="0"/>
        <v>2.4999750000000001</v>
      </c>
      <c r="D30" s="322">
        <f t="shared" si="1"/>
        <v>9.9999999999544924E-5</v>
      </c>
      <c r="E30" s="322">
        <f t="shared" si="2"/>
        <v>9.9999999999544924E-5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4DCA-49E6-4729-AF7C-86F1A6D68F05}">
  <sheetPr codeName="Sheet45"/>
  <dimension ref="A1:F29"/>
  <sheetViews>
    <sheetView showGridLines="0" workbookViewId="0"/>
  </sheetViews>
  <sheetFormatPr defaultColWidth="9.109375" defaultRowHeight="14.4"/>
  <cols>
    <col min="1" max="16384" width="9.109375" style="318"/>
  </cols>
  <sheetData>
    <row r="1" spans="1:6" s="317" customFormat="1">
      <c r="A1" s="316" t="s">
        <v>332</v>
      </c>
    </row>
    <row r="2" spans="1:6" s="317" customFormat="1"/>
    <row r="5" spans="1:6">
      <c r="B5" s="319" t="s">
        <v>265</v>
      </c>
      <c r="C5" s="335">
        <v>0.5</v>
      </c>
      <c r="D5" s="335">
        <v>5</v>
      </c>
      <c r="E5" s="335">
        <v>2</v>
      </c>
      <c r="F5" s="335">
        <v>4</v>
      </c>
    </row>
    <row r="6" spans="1:6">
      <c r="B6" s="319" t="s">
        <v>330</v>
      </c>
      <c r="C6" s="336">
        <v>0.5</v>
      </c>
      <c r="D6" s="336">
        <v>5</v>
      </c>
      <c r="E6" s="336">
        <v>6</v>
      </c>
      <c r="F6" s="336">
        <v>1</v>
      </c>
    </row>
    <row r="8" spans="1:6">
      <c r="B8" s="319" t="s">
        <v>11</v>
      </c>
      <c r="C8" s="319" t="str">
        <f>"a= "&amp;C5&amp;", b= "&amp;C6</f>
        <v>a= 0.5, b= 0.5</v>
      </c>
      <c r="D8" s="319" t="str">
        <f t="shared" ref="D8:F8" si="0">"a= "&amp;D5&amp;", b= "&amp;D6</f>
        <v>a= 5, b= 5</v>
      </c>
      <c r="E8" s="319" t="str">
        <f t="shared" si="0"/>
        <v>a= 2, b= 6</v>
      </c>
      <c r="F8" s="319" t="str">
        <f t="shared" si="0"/>
        <v>a= 4, b= 1</v>
      </c>
    </row>
    <row r="9" spans="1:6">
      <c r="B9" s="333">
        <v>1.0000000000000001E-5</v>
      </c>
      <c r="C9" s="322">
        <f>_xlfn.BETA.DIST($B9,C$5,C$6,FALSE)</f>
        <v>100.65892750486985</v>
      </c>
      <c r="D9" s="322">
        <f t="shared" ref="D9:F24" si="1">_xlfn.BETA.DIST($B9,D$5,D$6,FALSE)</f>
        <v>6.2997480037799766E-18</v>
      </c>
      <c r="E9" s="322">
        <f t="shared" si="1"/>
        <v>4.1997900041999554E-4</v>
      </c>
      <c r="F9" s="322">
        <f t="shared" si="1"/>
        <v>4.0000000000000043E-15</v>
      </c>
    </row>
    <row r="10" spans="1:6">
      <c r="B10" s="333">
        <f>B9+0.05</f>
        <v>5.0010000000000006E-2</v>
      </c>
      <c r="C10" s="322">
        <f t="shared" ref="C10:F29" si="2">_xlfn.BETA.DIST($B10,C$5,C$6,FALSE)</f>
        <v>1.4603675802192362</v>
      </c>
      <c r="D10" s="322">
        <f t="shared" si="1"/>
        <v>3.2095496813832254E-3</v>
      </c>
      <c r="E10" s="322">
        <f t="shared" si="1"/>
        <v>1.6251794182836978</v>
      </c>
      <c r="F10" s="322">
        <f t="shared" si="1"/>
        <v>5.0030006000400043E-4</v>
      </c>
    </row>
    <row r="11" spans="1:6">
      <c r="B11" s="333">
        <f t="shared" ref="B11:B28" si="3">B10+0.05</f>
        <v>0.10001000000000002</v>
      </c>
      <c r="C11" s="322">
        <f t="shared" si="2"/>
        <v>1.060985800658746</v>
      </c>
      <c r="D11" s="322">
        <f t="shared" si="1"/>
        <v>4.1348998415911158E-2</v>
      </c>
      <c r="E11" s="322">
        <f t="shared" si="1"/>
        <v>2.4801682140839723</v>
      </c>
      <c r="F11" s="322">
        <f t="shared" si="1"/>
        <v>4.0012001200040006E-3</v>
      </c>
    </row>
    <row r="12" spans="1:6">
      <c r="B12" s="333">
        <f t="shared" si="3"/>
        <v>0.15001000000000003</v>
      </c>
      <c r="C12" s="322">
        <f t="shared" si="2"/>
        <v>0.89142151863556629</v>
      </c>
      <c r="D12" s="322">
        <f t="shared" si="1"/>
        <v>0.16652393277994357</v>
      </c>
      <c r="E12" s="322">
        <f t="shared" si="1"/>
        <v>2.7953653859195686</v>
      </c>
      <c r="F12" s="322">
        <f t="shared" si="1"/>
        <v>1.3502700180004015E-2</v>
      </c>
    </row>
    <row r="13" spans="1:6">
      <c r="B13" s="333">
        <f t="shared" si="3"/>
        <v>0.20001000000000002</v>
      </c>
      <c r="C13" s="322">
        <f t="shared" si="2"/>
        <v>0.79575979535186103</v>
      </c>
      <c r="D13" s="322">
        <f t="shared" si="1"/>
        <v>0.41293873397142711</v>
      </c>
      <c r="E13" s="322">
        <f t="shared" si="1"/>
        <v>2.7524775892993611</v>
      </c>
      <c r="F13" s="322">
        <f t="shared" si="1"/>
        <v>3.2004800240004003E-2</v>
      </c>
    </row>
    <row r="14" spans="1:6">
      <c r="B14" s="333">
        <f t="shared" si="3"/>
        <v>0.25001000000000001</v>
      </c>
      <c r="C14" s="322">
        <f t="shared" si="2"/>
        <v>0.73509539288518144</v>
      </c>
      <c r="D14" s="322">
        <f t="shared" si="1"/>
        <v>0.77873906416105954</v>
      </c>
      <c r="E14" s="322">
        <f t="shared" si="1"/>
        <v>2.4916327712227742</v>
      </c>
      <c r="F14" s="322">
        <f t="shared" si="1"/>
        <v>6.2507500300004001E-2</v>
      </c>
    </row>
    <row r="15" spans="1:6">
      <c r="B15" s="333">
        <f t="shared" si="3"/>
        <v>0.30001</v>
      </c>
      <c r="C15" s="322">
        <f t="shared" si="2"/>
        <v>0.69460250297780446</v>
      </c>
      <c r="D15" s="322">
        <f t="shared" si="1"/>
        <v>1.225323651213297</v>
      </c>
      <c r="E15" s="322">
        <f t="shared" si="1"/>
        <v>2.1176013256797823</v>
      </c>
      <c r="F15" s="322">
        <f t="shared" si="1"/>
        <v>0.10801080036000398</v>
      </c>
    </row>
    <row r="16" spans="1:6">
      <c r="B16" s="333">
        <f t="shared" si="3"/>
        <v>0.35000999999999999</v>
      </c>
      <c r="C16" s="322">
        <f t="shared" si="2"/>
        <v>0.66735445415221295</v>
      </c>
      <c r="D16" s="322">
        <f t="shared" si="1"/>
        <v>1.6876759452272099</v>
      </c>
      <c r="E16" s="322">
        <f t="shared" si="1"/>
        <v>1.7055447491509097</v>
      </c>
      <c r="F16" s="322">
        <f t="shared" si="1"/>
        <v>0.17151470042000388</v>
      </c>
    </row>
    <row r="17" spans="2:6">
      <c r="B17" s="333">
        <f t="shared" si="3"/>
        <v>0.40000999999999998</v>
      </c>
      <c r="C17" s="322">
        <f t="shared" si="2"/>
        <v>0.64974462723311965</v>
      </c>
      <c r="D17" s="322">
        <f t="shared" si="1"/>
        <v>2.0902584703471825</v>
      </c>
      <c r="E17" s="322">
        <f t="shared" si="1"/>
        <v>1.3062917961072305</v>
      </c>
      <c r="F17" s="322">
        <f t="shared" si="1"/>
        <v>0.25601920048000404</v>
      </c>
    </row>
    <row r="18" spans="2:6">
      <c r="B18" s="333">
        <f t="shared" si="3"/>
        <v>0.45000999999999997</v>
      </c>
      <c r="C18" s="322">
        <f t="shared" si="2"/>
        <v>0.63982565272461778</v>
      </c>
      <c r="D18" s="322">
        <f t="shared" si="1"/>
        <v>2.3640049452934511</v>
      </c>
      <c r="E18" s="322">
        <f t="shared" si="1"/>
        <v>0.95114213451036911</v>
      </c>
      <c r="F18" s="322">
        <f t="shared" si="1"/>
        <v>0.36452430054000384</v>
      </c>
    </row>
    <row r="19" spans="2:6">
      <c r="B19" s="333">
        <f t="shared" si="3"/>
        <v>0.50000999999999995</v>
      </c>
      <c r="C19" s="322">
        <f t="shared" si="2"/>
        <v>0.63661977249490531</v>
      </c>
      <c r="D19" s="322">
        <f t="shared" si="1"/>
        <v>2.4609374960625008</v>
      </c>
      <c r="E19" s="322">
        <f t="shared" si="1"/>
        <v>0.65619750131250021</v>
      </c>
      <c r="F19" s="322">
        <f t="shared" si="1"/>
        <v>0.5000300006000038</v>
      </c>
    </row>
    <row r="20" spans="2:6">
      <c r="B20" s="333">
        <f t="shared" si="3"/>
        <v>0.55001</v>
      </c>
      <c r="C20" s="322">
        <f t="shared" si="2"/>
        <v>0.63982823788399379</v>
      </c>
      <c r="D20" s="322">
        <f t="shared" si="1"/>
        <v>2.3639285342472927</v>
      </c>
      <c r="E20" s="322">
        <f t="shared" si="1"/>
        <v>0.42622035795634777</v>
      </c>
      <c r="F20" s="322">
        <f t="shared" si="1"/>
        <v>0.6655363006600038</v>
      </c>
    </row>
    <row r="21" spans="2:6">
      <c r="B21" s="333">
        <f t="shared" si="3"/>
        <v>0.60001000000000004</v>
      </c>
      <c r="C21" s="322">
        <f t="shared" si="2"/>
        <v>0.64975004179424301</v>
      </c>
      <c r="D21" s="322">
        <f t="shared" si="1"/>
        <v>2.0901191244273463</v>
      </c>
      <c r="E21" s="322">
        <f t="shared" si="1"/>
        <v>0.25802004587518662</v>
      </c>
      <c r="F21" s="322">
        <f t="shared" si="1"/>
        <v>0.86404320072000418</v>
      </c>
    </row>
    <row r="22" spans="2:6">
      <c r="B22" s="333">
        <f t="shared" si="3"/>
        <v>0.65001000000000009</v>
      </c>
      <c r="C22" s="322">
        <f t="shared" si="2"/>
        <v>0.66736325448875755</v>
      </c>
      <c r="D22" s="322">
        <f t="shared" si="1"/>
        <v>1.6874979140786632</v>
      </c>
      <c r="E22" s="322">
        <f t="shared" si="1"/>
        <v>0.14336644199284057</v>
      </c>
      <c r="F22" s="322">
        <f t="shared" si="1"/>
        <v>1.0985507007800046</v>
      </c>
    </row>
    <row r="23" spans="2:6">
      <c r="B23" s="333">
        <f t="shared" si="3"/>
        <v>0.70001000000000013</v>
      </c>
      <c r="C23" s="322">
        <f t="shared" si="2"/>
        <v>0.69461573362768436</v>
      </c>
      <c r="D23" s="322">
        <f t="shared" si="1"/>
        <v>1.2251369494534943</v>
      </c>
      <c r="E23" s="322">
        <f t="shared" si="1"/>
        <v>7.1431114223684714E-2</v>
      </c>
      <c r="F23" s="322">
        <f t="shared" si="1"/>
        <v>1.372058800840005</v>
      </c>
    </row>
    <row r="24" spans="2:6">
      <c r="B24" s="333">
        <f t="shared" si="3"/>
        <v>0.75001000000000018</v>
      </c>
      <c r="C24" s="322">
        <f t="shared" si="2"/>
        <v>0.73511499569037642</v>
      </c>
      <c r="D24" s="322">
        <f t="shared" si="1"/>
        <v>0.77857295087995537</v>
      </c>
      <c r="E24" s="322">
        <f t="shared" si="1"/>
        <v>3.0755976972643023E-2</v>
      </c>
      <c r="F24" s="322">
        <f t="shared" si="1"/>
        <v>1.6875675009000051</v>
      </c>
    </row>
    <row r="25" spans="2:6">
      <c r="B25" s="333">
        <f t="shared" si="3"/>
        <v>0.80001000000000022</v>
      </c>
      <c r="C25" s="322">
        <f t="shared" si="2"/>
        <v>0.79578963690374538</v>
      </c>
      <c r="D25" s="322">
        <f t="shared" si="2"/>
        <v>0.41281487093148389</v>
      </c>
      <c r="E25" s="322">
        <f t="shared" si="2"/>
        <v>1.0749446635189855E-2</v>
      </c>
      <c r="F25" s="322">
        <f t="shared" si="2"/>
        <v>2.0480768009600054</v>
      </c>
    </row>
    <row r="26" spans="2:6">
      <c r="B26" s="333">
        <f t="shared" si="3"/>
        <v>0.85001000000000027</v>
      </c>
      <c r="C26" s="322">
        <f t="shared" si="2"/>
        <v>0.8914704607684103</v>
      </c>
      <c r="D26" s="322">
        <f t="shared" si="2"/>
        <v>0.16645080891614425</v>
      </c>
      <c r="E26" s="322">
        <f t="shared" si="2"/>
        <v>2.7100970973496117E-3</v>
      </c>
      <c r="F26" s="322">
        <f t="shared" si="2"/>
        <v>2.4565867010200062</v>
      </c>
    </row>
    <row r="27" spans="2:6">
      <c r="B27" s="333">
        <f t="shared" si="3"/>
        <v>0.90001000000000031</v>
      </c>
      <c r="C27" s="322">
        <f t="shared" si="2"/>
        <v>1.0610801146997213</v>
      </c>
      <c r="D27" s="322">
        <f t="shared" si="2"/>
        <v>4.1319605135776455E-2</v>
      </c>
      <c r="E27" s="322">
        <f t="shared" si="2"/>
        <v>3.7781523569663478E-4</v>
      </c>
      <c r="F27" s="322">
        <f t="shared" si="2"/>
        <v>2.9160972010800066</v>
      </c>
    </row>
    <row r="28" spans="2:6">
      <c r="B28" s="333">
        <f t="shared" si="3"/>
        <v>0.95001000000000035</v>
      </c>
      <c r="C28" s="322">
        <f t="shared" si="2"/>
        <v>1.4606443076643174</v>
      </c>
      <c r="D28" s="322">
        <f t="shared" si="2"/>
        <v>3.2046883649893177E-3</v>
      </c>
      <c r="E28" s="322">
        <f t="shared" si="2"/>
        <v>1.2456417355304661E-5</v>
      </c>
      <c r="F28" s="322">
        <f t="shared" si="2"/>
        <v>3.4296083011400071</v>
      </c>
    </row>
    <row r="29" spans="2:6">
      <c r="B29" s="333">
        <v>0.99999000000000005</v>
      </c>
      <c r="C29" s="322">
        <f t="shared" si="2"/>
        <v>100.6589275050989</v>
      </c>
      <c r="D29" s="322">
        <f t="shared" si="2"/>
        <v>6.2997480036652952E-18</v>
      </c>
      <c r="E29" s="322">
        <f t="shared" si="2"/>
        <v>4.1999579999044268E-24</v>
      </c>
      <c r="F29" s="322">
        <f t="shared" si="2"/>
        <v>3.9998800011999962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308E-85C4-48A7-9356-F34E56E4AC53}">
  <sheetPr codeName="Sheet46"/>
  <dimension ref="A1:R37"/>
  <sheetViews>
    <sheetView showGridLines="0" workbookViewId="0"/>
  </sheetViews>
  <sheetFormatPr defaultRowHeight="14.4"/>
  <cols>
    <col min="1" max="1" width="9.6640625" style="343" customWidth="1"/>
    <col min="2" max="2" width="8.6640625" style="343" customWidth="1"/>
    <col min="3" max="3" width="8.6640625" style="348" customWidth="1"/>
    <col min="4" max="21" width="8.6640625" style="343" customWidth="1"/>
    <col min="22" max="257" width="8.88671875" style="343"/>
    <col min="258" max="258" width="2.6640625" style="343" customWidth="1"/>
    <col min="259" max="259" width="6.44140625" style="343" customWidth="1"/>
    <col min="260" max="261" width="12.44140625" style="343" customWidth="1"/>
    <col min="262" max="262" width="11.33203125" style="343" bestFit="1" customWidth="1"/>
    <col min="263" max="275" width="8.88671875" style="343"/>
    <col min="276" max="276" width="12.44140625" style="343" bestFit="1" customWidth="1"/>
    <col min="277" max="513" width="8.88671875" style="343"/>
    <col min="514" max="514" width="2.6640625" style="343" customWidth="1"/>
    <col min="515" max="515" width="6.44140625" style="343" customWidth="1"/>
    <col min="516" max="517" width="12.44140625" style="343" customWidth="1"/>
    <col min="518" max="518" width="11.33203125" style="343" bestFit="1" customWidth="1"/>
    <col min="519" max="531" width="8.88671875" style="343"/>
    <col min="532" max="532" width="12.44140625" style="343" bestFit="1" customWidth="1"/>
    <col min="533" max="769" width="8.88671875" style="343"/>
    <col min="770" max="770" width="2.6640625" style="343" customWidth="1"/>
    <col min="771" max="771" width="6.44140625" style="343" customWidth="1"/>
    <col min="772" max="773" width="12.44140625" style="343" customWidth="1"/>
    <col min="774" max="774" width="11.33203125" style="343" bestFit="1" customWidth="1"/>
    <col min="775" max="787" width="8.88671875" style="343"/>
    <col min="788" max="788" width="12.44140625" style="343" bestFit="1" customWidth="1"/>
    <col min="789" max="1025" width="8.88671875" style="343"/>
    <col min="1026" max="1026" width="2.6640625" style="343" customWidth="1"/>
    <col min="1027" max="1027" width="6.44140625" style="343" customWidth="1"/>
    <col min="1028" max="1029" width="12.44140625" style="343" customWidth="1"/>
    <col min="1030" max="1030" width="11.33203125" style="343" bestFit="1" customWidth="1"/>
    <col min="1031" max="1043" width="8.88671875" style="343"/>
    <col min="1044" max="1044" width="12.44140625" style="343" bestFit="1" customWidth="1"/>
    <col min="1045" max="1281" width="8.88671875" style="343"/>
    <col min="1282" max="1282" width="2.6640625" style="343" customWidth="1"/>
    <col min="1283" max="1283" width="6.44140625" style="343" customWidth="1"/>
    <col min="1284" max="1285" width="12.44140625" style="343" customWidth="1"/>
    <col min="1286" max="1286" width="11.33203125" style="343" bestFit="1" customWidth="1"/>
    <col min="1287" max="1299" width="8.88671875" style="343"/>
    <col min="1300" max="1300" width="12.44140625" style="343" bestFit="1" customWidth="1"/>
    <col min="1301" max="1537" width="8.88671875" style="343"/>
    <col min="1538" max="1538" width="2.6640625" style="343" customWidth="1"/>
    <col min="1539" max="1539" width="6.44140625" style="343" customWidth="1"/>
    <col min="1540" max="1541" width="12.44140625" style="343" customWidth="1"/>
    <col min="1542" max="1542" width="11.33203125" style="343" bestFit="1" customWidth="1"/>
    <col min="1543" max="1555" width="8.88671875" style="343"/>
    <col min="1556" max="1556" width="12.44140625" style="343" bestFit="1" customWidth="1"/>
    <col min="1557" max="1793" width="8.88671875" style="343"/>
    <col min="1794" max="1794" width="2.6640625" style="343" customWidth="1"/>
    <col min="1795" max="1795" width="6.44140625" style="343" customWidth="1"/>
    <col min="1796" max="1797" width="12.44140625" style="343" customWidth="1"/>
    <col min="1798" max="1798" width="11.33203125" style="343" bestFit="1" customWidth="1"/>
    <col min="1799" max="1811" width="8.88671875" style="343"/>
    <col min="1812" max="1812" width="12.44140625" style="343" bestFit="1" customWidth="1"/>
    <col min="1813" max="2049" width="8.88671875" style="343"/>
    <col min="2050" max="2050" width="2.6640625" style="343" customWidth="1"/>
    <col min="2051" max="2051" width="6.44140625" style="343" customWidth="1"/>
    <col min="2052" max="2053" width="12.44140625" style="343" customWidth="1"/>
    <col min="2054" max="2054" width="11.33203125" style="343" bestFit="1" customWidth="1"/>
    <col min="2055" max="2067" width="8.88671875" style="343"/>
    <col min="2068" max="2068" width="12.44140625" style="343" bestFit="1" customWidth="1"/>
    <col min="2069" max="2305" width="8.88671875" style="343"/>
    <col min="2306" max="2306" width="2.6640625" style="343" customWidth="1"/>
    <col min="2307" max="2307" width="6.44140625" style="343" customWidth="1"/>
    <col min="2308" max="2309" width="12.44140625" style="343" customWidth="1"/>
    <col min="2310" max="2310" width="11.33203125" style="343" bestFit="1" customWidth="1"/>
    <col min="2311" max="2323" width="8.88671875" style="343"/>
    <col min="2324" max="2324" width="12.44140625" style="343" bestFit="1" customWidth="1"/>
    <col min="2325" max="2561" width="8.88671875" style="343"/>
    <col min="2562" max="2562" width="2.6640625" style="343" customWidth="1"/>
    <col min="2563" max="2563" width="6.44140625" style="343" customWidth="1"/>
    <col min="2564" max="2565" width="12.44140625" style="343" customWidth="1"/>
    <col min="2566" max="2566" width="11.33203125" style="343" bestFit="1" customWidth="1"/>
    <col min="2567" max="2579" width="8.88671875" style="343"/>
    <col min="2580" max="2580" width="12.44140625" style="343" bestFit="1" customWidth="1"/>
    <col min="2581" max="2817" width="8.88671875" style="343"/>
    <col min="2818" max="2818" width="2.6640625" style="343" customWidth="1"/>
    <col min="2819" max="2819" width="6.44140625" style="343" customWidth="1"/>
    <col min="2820" max="2821" width="12.44140625" style="343" customWidth="1"/>
    <col min="2822" max="2822" width="11.33203125" style="343" bestFit="1" customWidth="1"/>
    <col min="2823" max="2835" width="8.88671875" style="343"/>
    <col min="2836" max="2836" width="12.44140625" style="343" bestFit="1" customWidth="1"/>
    <col min="2837" max="3073" width="8.88671875" style="343"/>
    <col min="3074" max="3074" width="2.6640625" style="343" customWidth="1"/>
    <col min="3075" max="3075" width="6.44140625" style="343" customWidth="1"/>
    <col min="3076" max="3077" width="12.44140625" style="343" customWidth="1"/>
    <col min="3078" max="3078" width="11.33203125" style="343" bestFit="1" customWidth="1"/>
    <col min="3079" max="3091" width="8.88671875" style="343"/>
    <col min="3092" max="3092" width="12.44140625" style="343" bestFit="1" customWidth="1"/>
    <col min="3093" max="3329" width="8.88671875" style="343"/>
    <col min="3330" max="3330" width="2.6640625" style="343" customWidth="1"/>
    <col min="3331" max="3331" width="6.44140625" style="343" customWidth="1"/>
    <col min="3332" max="3333" width="12.44140625" style="343" customWidth="1"/>
    <col min="3334" max="3334" width="11.33203125" style="343" bestFit="1" customWidth="1"/>
    <col min="3335" max="3347" width="8.88671875" style="343"/>
    <col min="3348" max="3348" width="12.44140625" style="343" bestFit="1" customWidth="1"/>
    <col min="3349" max="3585" width="8.88671875" style="343"/>
    <col min="3586" max="3586" width="2.6640625" style="343" customWidth="1"/>
    <col min="3587" max="3587" width="6.44140625" style="343" customWidth="1"/>
    <col min="3588" max="3589" width="12.44140625" style="343" customWidth="1"/>
    <col min="3590" max="3590" width="11.33203125" style="343" bestFit="1" customWidth="1"/>
    <col min="3591" max="3603" width="8.88671875" style="343"/>
    <col min="3604" max="3604" width="12.44140625" style="343" bestFit="1" customWidth="1"/>
    <col min="3605" max="3841" width="8.88671875" style="343"/>
    <col min="3842" max="3842" width="2.6640625" style="343" customWidth="1"/>
    <col min="3843" max="3843" width="6.44140625" style="343" customWidth="1"/>
    <col min="3844" max="3845" width="12.44140625" style="343" customWidth="1"/>
    <col min="3846" max="3846" width="11.33203125" style="343" bestFit="1" customWidth="1"/>
    <col min="3847" max="3859" width="8.88671875" style="343"/>
    <col min="3860" max="3860" width="12.44140625" style="343" bestFit="1" customWidth="1"/>
    <col min="3861" max="4097" width="8.88671875" style="343"/>
    <col min="4098" max="4098" width="2.6640625" style="343" customWidth="1"/>
    <col min="4099" max="4099" width="6.44140625" style="343" customWidth="1"/>
    <col min="4100" max="4101" width="12.44140625" style="343" customWidth="1"/>
    <col min="4102" max="4102" width="11.33203125" style="343" bestFit="1" customWidth="1"/>
    <col min="4103" max="4115" width="8.88671875" style="343"/>
    <col min="4116" max="4116" width="12.44140625" style="343" bestFit="1" customWidth="1"/>
    <col min="4117" max="4353" width="8.88671875" style="343"/>
    <col min="4354" max="4354" width="2.6640625" style="343" customWidth="1"/>
    <col min="4355" max="4355" width="6.44140625" style="343" customWidth="1"/>
    <col min="4356" max="4357" width="12.44140625" style="343" customWidth="1"/>
    <col min="4358" max="4358" width="11.33203125" style="343" bestFit="1" customWidth="1"/>
    <col min="4359" max="4371" width="8.88671875" style="343"/>
    <col min="4372" max="4372" width="12.44140625" style="343" bestFit="1" customWidth="1"/>
    <col min="4373" max="4609" width="8.88671875" style="343"/>
    <col min="4610" max="4610" width="2.6640625" style="343" customWidth="1"/>
    <col min="4611" max="4611" width="6.44140625" style="343" customWidth="1"/>
    <col min="4612" max="4613" width="12.44140625" style="343" customWidth="1"/>
    <col min="4614" max="4614" width="11.33203125" style="343" bestFit="1" customWidth="1"/>
    <col min="4615" max="4627" width="8.88671875" style="343"/>
    <col min="4628" max="4628" width="12.44140625" style="343" bestFit="1" customWidth="1"/>
    <col min="4629" max="4865" width="8.88671875" style="343"/>
    <col min="4866" max="4866" width="2.6640625" style="343" customWidth="1"/>
    <col min="4867" max="4867" width="6.44140625" style="343" customWidth="1"/>
    <col min="4868" max="4869" width="12.44140625" style="343" customWidth="1"/>
    <col min="4870" max="4870" width="11.33203125" style="343" bestFit="1" customWidth="1"/>
    <col min="4871" max="4883" width="8.88671875" style="343"/>
    <col min="4884" max="4884" width="12.44140625" style="343" bestFit="1" customWidth="1"/>
    <col min="4885" max="5121" width="8.88671875" style="343"/>
    <col min="5122" max="5122" width="2.6640625" style="343" customWidth="1"/>
    <col min="5123" max="5123" width="6.44140625" style="343" customWidth="1"/>
    <col min="5124" max="5125" width="12.44140625" style="343" customWidth="1"/>
    <col min="5126" max="5126" width="11.33203125" style="343" bestFit="1" customWidth="1"/>
    <col min="5127" max="5139" width="8.88671875" style="343"/>
    <col min="5140" max="5140" width="12.44140625" style="343" bestFit="1" customWidth="1"/>
    <col min="5141" max="5377" width="8.88671875" style="343"/>
    <col min="5378" max="5378" width="2.6640625" style="343" customWidth="1"/>
    <col min="5379" max="5379" width="6.44140625" style="343" customWidth="1"/>
    <col min="5380" max="5381" width="12.44140625" style="343" customWidth="1"/>
    <col min="5382" max="5382" width="11.33203125" style="343" bestFit="1" customWidth="1"/>
    <col min="5383" max="5395" width="8.88671875" style="343"/>
    <col min="5396" max="5396" width="12.44140625" style="343" bestFit="1" customWidth="1"/>
    <col min="5397" max="5633" width="8.88671875" style="343"/>
    <col min="5634" max="5634" width="2.6640625" style="343" customWidth="1"/>
    <col min="5635" max="5635" width="6.44140625" style="343" customWidth="1"/>
    <col min="5636" max="5637" width="12.44140625" style="343" customWidth="1"/>
    <col min="5638" max="5638" width="11.33203125" style="343" bestFit="1" customWidth="1"/>
    <col min="5639" max="5651" width="8.88671875" style="343"/>
    <col min="5652" max="5652" width="12.44140625" style="343" bestFit="1" customWidth="1"/>
    <col min="5653" max="5889" width="8.88671875" style="343"/>
    <col min="5890" max="5890" width="2.6640625" style="343" customWidth="1"/>
    <col min="5891" max="5891" width="6.44140625" style="343" customWidth="1"/>
    <col min="5892" max="5893" width="12.44140625" style="343" customWidth="1"/>
    <col min="5894" max="5894" width="11.33203125" style="343" bestFit="1" customWidth="1"/>
    <col min="5895" max="5907" width="8.88671875" style="343"/>
    <col min="5908" max="5908" width="12.44140625" style="343" bestFit="1" customWidth="1"/>
    <col min="5909" max="6145" width="8.88671875" style="343"/>
    <col min="6146" max="6146" width="2.6640625" style="343" customWidth="1"/>
    <col min="6147" max="6147" width="6.44140625" style="343" customWidth="1"/>
    <col min="6148" max="6149" width="12.44140625" style="343" customWidth="1"/>
    <col min="6150" max="6150" width="11.33203125" style="343" bestFit="1" customWidth="1"/>
    <col min="6151" max="6163" width="8.88671875" style="343"/>
    <col min="6164" max="6164" width="12.44140625" style="343" bestFit="1" customWidth="1"/>
    <col min="6165" max="6401" width="8.88671875" style="343"/>
    <col min="6402" max="6402" width="2.6640625" style="343" customWidth="1"/>
    <col min="6403" max="6403" width="6.44140625" style="343" customWidth="1"/>
    <col min="6404" max="6405" width="12.44140625" style="343" customWidth="1"/>
    <col min="6406" max="6406" width="11.33203125" style="343" bestFit="1" customWidth="1"/>
    <col min="6407" max="6419" width="8.88671875" style="343"/>
    <col min="6420" max="6420" width="12.44140625" style="343" bestFit="1" customWidth="1"/>
    <col min="6421" max="6657" width="8.88671875" style="343"/>
    <col min="6658" max="6658" width="2.6640625" style="343" customWidth="1"/>
    <col min="6659" max="6659" width="6.44140625" style="343" customWidth="1"/>
    <col min="6660" max="6661" width="12.44140625" style="343" customWidth="1"/>
    <col min="6662" max="6662" width="11.33203125" style="343" bestFit="1" customWidth="1"/>
    <col min="6663" max="6675" width="8.88671875" style="343"/>
    <col min="6676" max="6676" width="12.44140625" style="343" bestFit="1" customWidth="1"/>
    <col min="6677" max="6913" width="8.88671875" style="343"/>
    <col min="6914" max="6914" width="2.6640625" style="343" customWidth="1"/>
    <col min="6915" max="6915" width="6.44140625" style="343" customWidth="1"/>
    <col min="6916" max="6917" width="12.44140625" style="343" customWidth="1"/>
    <col min="6918" max="6918" width="11.33203125" style="343" bestFit="1" customWidth="1"/>
    <col min="6919" max="6931" width="8.88671875" style="343"/>
    <col min="6932" max="6932" width="12.44140625" style="343" bestFit="1" customWidth="1"/>
    <col min="6933" max="7169" width="8.88671875" style="343"/>
    <col min="7170" max="7170" width="2.6640625" style="343" customWidth="1"/>
    <col min="7171" max="7171" width="6.44140625" style="343" customWidth="1"/>
    <col min="7172" max="7173" width="12.44140625" style="343" customWidth="1"/>
    <col min="7174" max="7174" width="11.33203125" style="343" bestFit="1" customWidth="1"/>
    <col min="7175" max="7187" width="8.88671875" style="343"/>
    <col min="7188" max="7188" width="12.44140625" style="343" bestFit="1" customWidth="1"/>
    <col min="7189" max="7425" width="8.88671875" style="343"/>
    <col min="7426" max="7426" width="2.6640625" style="343" customWidth="1"/>
    <col min="7427" max="7427" width="6.44140625" style="343" customWidth="1"/>
    <col min="7428" max="7429" width="12.44140625" style="343" customWidth="1"/>
    <col min="7430" max="7430" width="11.33203125" style="343" bestFit="1" customWidth="1"/>
    <col min="7431" max="7443" width="8.88671875" style="343"/>
    <col min="7444" max="7444" width="12.44140625" style="343" bestFit="1" customWidth="1"/>
    <col min="7445" max="7681" width="8.88671875" style="343"/>
    <col min="7682" max="7682" width="2.6640625" style="343" customWidth="1"/>
    <col min="7683" max="7683" width="6.44140625" style="343" customWidth="1"/>
    <col min="7684" max="7685" width="12.44140625" style="343" customWidth="1"/>
    <col min="7686" max="7686" width="11.33203125" style="343" bestFit="1" customWidth="1"/>
    <col min="7687" max="7699" width="8.88671875" style="343"/>
    <col min="7700" max="7700" width="12.44140625" style="343" bestFit="1" customWidth="1"/>
    <col min="7701" max="7937" width="8.88671875" style="343"/>
    <col min="7938" max="7938" width="2.6640625" style="343" customWidth="1"/>
    <col min="7939" max="7939" width="6.44140625" style="343" customWidth="1"/>
    <col min="7940" max="7941" width="12.44140625" style="343" customWidth="1"/>
    <col min="7942" max="7942" width="11.33203125" style="343" bestFit="1" customWidth="1"/>
    <col min="7943" max="7955" width="8.88671875" style="343"/>
    <col min="7956" max="7956" width="12.44140625" style="343" bestFit="1" customWidth="1"/>
    <col min="7957" max="8193" width="8.88671875" style="343"/>
    <col min="8194" max="8194" width="2.6640625" style="343" customWidth="1"/>
    <col min="8195" max="8195" width="6.44140625" style="343" customWidth="1"/>
    <col min="8196" max="8197" width="12.44140625" style="343" customWidth="1"/>
    <col min="8198" max="8198" width="11.33203125" style="343" bestFit="1" customWidth="1"/>
    <col min="8199" max="8211" width="8.88671875" style="343"/>
    <col min="8212" max="8212" width="12.44140625" style="343" bestFit="1" customWidth="1"/>
    <col min="8213" max="8449" width="8.88671875" style="343"/>
    <col min="8450" max="8450" width="2.6640625" style="343" customWidth="1"/>
    <col min="8451" max="8451" width="6.44140625" style="343" customWidth="1"/>
    <col min="8452" max="8453" width="12.44140625" style="343" customWidth="1"/>
    <col min="8454" max="8454" width="11.33203125" style="343" bestFit="1" customWidth="1"/>
    <col min="8455" max="8467" width="8.88671875" style="343"/>
    <col min="8468" max="8468" width="12.44140625" style="343" bestFit="1" customWidth="1"/>
    <col min="8469" max="8705" width="8.88671875" style="343"/>
    <col min="8706" max="8706" width="2.6640625" style="343" customWidth="1"/>
    <col min="8707" max="8707" width="6.44140625" style="343" customWidth="1"/>
    <col min="8708" max="8709" width="12.44140625" style="343" customWidth="1"/>
    <col min="8710" max="8710" width="11.33203125" style="343" bestFit="1" customWidth="1"/>
    <col min="8711" max="8723" width="8.88671875" style="343"/>
    <col min="8724" max="8724" width="12.44140625" style="343" bestFit="1" customWidth="1"/>
    <col min="8725" max="8961" width="8.88671875" style="343"/>
    <col min="8962" max="8962" width="2.6640625" style="343" customWidth="1"/>
    <col min="8963" max="8963" width="6.44140625" style="343" customWidth="1"/>
    <col min="8964" max="8965" width="12.44140625" style="343" customWidth="1"/>
    <col min="8966" max="8966" width="11.33203125" style="343" bestFit="1" customWidth="1"/>
    <col min="8967" max="8979" width="8.88671875" style="343"/>
    <col min="8980" max="8980" width="12.44140625" style="343" bestFit="1" customWidth="1"/>
    <col min="8981" max="9217" width="8.88671875" style="343"/>
    <col min="9218" max="9218" width="2.6640625" style="343" customWidth="1"/>
    <col min="9219" max="9219" width="6.44140625" style="343" customWidth="1"/>
    <col min="9220" max="9221" width="12.44140625" style="343" customWidth="1"/>
    <col min="9222" max="9222" width="11.33203125" style="343" bestFit="1" customWidth="1"/>
    <col min="9223" max="9235" width="8.88671875" style="343"/>
    <col min="9236" max="9236" width="12.44140625" style="343" bestFit="1" customWidth="1"/>
    <col min="9237" max="9473" width="8.88671875" style="343"/>
    <col min="9474" max="9474" width="2.6640625" style="343" customWidth="1"/>
    <col min="9475" max="9475" width="6.44140625" style="343" customWidth="1"/>
    <col min="9476" max="9477" width="12.44140625" style="343" customWidth="1"/>
    <col min="9478" max="9478" width="11.33203125" style="343" bestFit="1" customWidth="1"/>
    <col min="9479" max="9491" width="8.88671875" style="343"/>
    <col min="9492" max="9492" width="12.44140625" style="343" bestFit="1" customWidth="1"/>
    <col min="9493" max="9729" width="8.88671875" style="343"/>
    <col min="9730" max="9730" width="2.6640625" style="343" customWidth="1"/>
    <col min="9731" max="9731" width="6.44140625" style="343" customWidth="1"/>
    <col min="9732" max="9733" width="12.44140625" style="343" customWidth="1"/>
    <col min="9734" max="9734" width="11.33203125" style="343" bestFit="1" customWidth="1"/>
    <col min="9735" max="9747" width="8.88671875" style="343"/>
    <col min="9748" max="9748" width="12.44140625" style="343" bestFit="1" customWidth="1"/>
    <col min="9749" max="9985" width="8.88671875" style="343"/>
    <col min="9986" max="9986" width="2.6640625" style="343" customWidth="1"/>
    <col min="9987" max="9987" width="6.44140625" style="343" customWidth="1"/>
    <col min="9988" max="9989" width="12.44140625" style="343" customWidth="1"/>
    <col min="9990" max="9990" width="11.33203125" style="343" bestFit="1" customWidth="1"/>
    <col min="9991" max="10003" width="8.88671875" style="343"/>
    <col min="10004" max="10004" width="12.44140625" style="343" bestFit="1" customWidth="1"/>
    <col min="10005" max="10241" width="8.88671875" style="343"/>
    <col min="10242" max="10242" width="2.6640625" style="343" customWidth="1"/>
    <col min="10243" max="10243" width="6.44140625" style="343" customWidth="1"/>
    <col min="10244" max="10245" width="12.44140625" style="343" customWidth="1"/>
    <col min="10246" max="10246" width="11.33203125" style="343" bestFit="1" customWidth="1"/>
    <col min="10247" max="10259" width="8.88671875" style="343"/>
    <col min="10260" max="10260" width="12.44140625" style="343" bestFit="1" customWidth="1"/>
    <col min="10261" max="10497" width="8.88671875" style="343"/>
    <col min="10498" max="10498" width="2.6640625" style="343" customWidth="1"/>
    <col min="10499" max="10499" width="6.44140625" style="343" customWidth="1"/>
    <col min="10500" max="10501" width="12.44140625" style="343" customWidth="1"/>
    <col min="10502" max="10502" width="11.33203125" style="343" bestFit="1" customWidth="1"/>
    <col min="10503" max="10515" width="8.88671875" style="343"/>
    <col min="10516" max="10516" width="12.44140625" style="343" bestFit="1" customWidth="1"/>
    <col min="10517" max="10753" width="8.88671875" style="343"/>
    <col min="10754" max="10754" width="2.6640625" style="343" customWidth="1"/>
    <col min="10755" max="10755" width="6.44140625" style="343" customWidth="1"/>
    <col min="10756" max="10757" width="12.44140625" style="343" customWidth="1"/>
    <col min="10758" max="10758" width="11.33203125" style="343" bestFit="1" customWidth="1"/>
    <col min="10759" max="10771" width="8.88671875" style="343"/>
    <col min="10772" max="10772" width="12.44140625" style="343" bestFit="1" customWidth="1"/>
    <col min="10773" max="11009" width="8.88671875" style="343"/>
    <col min="11010" max="11010" width="2.6640625" style="343" customWidth="1"/>
    <col min="11011" max="11011" width="6.44140625" style="343" customWidth="1"/>
    <col min="11012" max="11013" width="12.44140625" style="343" customWidth="1"/>
    <col min="11014" max="11014" width="11.33203125" style="343" bestFit="1" customWidth="1"/>
    <col min="11015" max="11027" width="8.88671875" style="343"/>
    <col min="11028" max="11028" width="12.44140625" style="343" bestFit="1" customWidth="1"/>
    <col min="11029" max="11265" width="8.88671875" style="343"/>
    <col min="11266" max="11266" width="2.6640625" style="343" customWidth="1"/>
    <col min="11267" max="11267" width="6.44140625" style="343" customWidth="1"/>
    <col min="11268" max="11269" width="12.44140625" style="343" customWidth="1"/>
    <col min="11270" max="11270" width="11.33203125" style="343" bestFit="1" customWidth="1"/>
    <col min="11271" max="11283" width="8.88671875" style="343"/>
    <col min="11284" max="11284" width="12.44140625" style="343" bestFit="1" customWidth="1"/>
    <col min="11285" max="11521" width="8.88671875" style="343"/>
    <col min="11522" max="11522" width="2.6640625" style="343" customWidth="1"/>
    <col min="11523" max="11523" width="6.44140625" style="343" customWidth="1"/>
    <col min="11524" max="11525" width="12.44140625" style="343" customWidth="1"/>
    <col min="11526" max="11526" width="11.33203125" style="343" bestFit="1" customWidth="1"/>
    <col min="11527" max="11539" width="8.88671875" style="343"/>
    <col min="11540" max="11540" width="12.44140625" style="343" bestFit="1" customWidth="1"/>
    <col min="11541" max="11777" width="8.88671875" style="343"/>
    <col min="11778" max="11778" width="2.6640625" style="343" customWidth="1"/>
    <col min="11779" max="11779" width="6.44140625" style="343" customWidth="1"/>
    <col min="11780" max="11781" width="12.44140625" style="343" customWidth="1"/>
    <col min="11782" max="11782" width="11.33203125" style="343" bestFit="1" customWidth="1"/>
    <col min="11783" max="11795" width="8.88671875" style="343"/>
    <col min="11796" max="11796" width="12.44140625" style="343" bestFit="1" customWidth="1"/>
    <col min="11797" max="12033" width="8.88671875" style="343"/>
    <col min="12034" max="12034" width="2.6640625" style="343" customWidth="1"/>
    <col min="12035" max="12035" width="6.44140625" style="343" customWidth="1"/>
    <col min="12036" max="12037" width="12.44140625" style="343" customWidth="1"/>
    <col min="12038" max="12038" width="11.33203125" style="343" bestFit="1" customWidth="1"/>
    <col min="12039" max="12051" width="8.88671875" style="343"/>
    <col min="12052" max="12052" width="12.44140625" style="343" bestFit="1" customWidth="1"/>
    <col min="12053" max="12289" width="8.88671875" style="343"/>
    <col min="12290" max="12290" width="2.6640625" style="343" customWidth="1"/>
    <col min="12291" max="12291" width="6.44140625" style="343" customWidth="1"/>
    <col min="12292" max="12293" width="12.44140625" style="343" customWidth="1"/>
    <col min="12294" max="12294" width="11.33203125" style="343" bestFit="1" customWidth="1"/>
    <col min="12295" max="12307" width="8.88671875" style="343"/>
    <col min="12308" max="12308" width="12.44140625" style="343" bestFit="1" customWidth="1"/>
    <col min="12309" max="12545" width="8.88671875" style="343"/>
    <col min="12546" max="12546" width="2.6640625" style="343" customWidth="1"/>
    <col min="12547" max="12547" width="6.44140625" style="343" customWidth="1"/>
    <col min="12548" max="12549" width="12.44140625" style="343" customWidth="1"/>
    <col min="12550" max="12550" width="11.33203125" style="343" bestFit="1" customWidth="1"/>
    <col min="12551" max="12563" width="8.88671875" style="343"/>
    <col min="12564" max="12564" width="12.44140625" style="343" bestFit="1" customWidth="1"/>
    <col min="12565" max="12801" width="8.88671875" style="343"/>
    <col min="12802" max="12802" width="2.6640625" style="343" customWidth="1"/>
    <col min="12803" max="12803" width="6.44140625" style="343" customWidth="1"/>
    <col min="12804" max="12805" width="12.44140625" style="343" customWidth="1"/>
    <col min="12806" max="12806" width="11.33203125" style="343" bestFit="1" customWidth="1"/>
    <col min="12807" max="12819" width="8.88671875" style="343"/>
    <col min="12820" max="12820" width="12.44140625" style="343" bestFit="1" customWidth="1"/>
    <col min="12821" max="13057" width="8.88671875" style="343"/>
    <col min="13058" max="13058" width="2.6640625" style="343" customWidth="1"/>
    <col min="13059" max="13059" width="6.44140625" style="343" customWidth="1"/>
    <col min="13060" max="13061" width="12.44140625" style="343" customWidth="1"/>
    <col min="13062" max="13062" width="11.33203125" style="343" bestFit="1" customWidth="1"/>
    <col min="13063" max="13075" width="8.88671875" style="343"/>
    <col min="13076" max="13076" width="12.44140625" style="343" bestFit="1" customWidth="1"/>
    <col min="13077" max="13313" width="8.88671875" style="343"/>
    <col min="13314" max="13314" width="2.6640625" style="343" customWidth="1"/>
    <col min="13315" max="13315" width="6.44140625" style="343" customWidth="1"/>
    <col min="13316" max="13317" width="12.44140625" style="343" customWidth="1"/>
    <col min="13318" max="13318" width="11.33203125" style="343" bestFit="1" customWidth="1"/>
    <col min="13319" max="13331" width="8.88671875" style="343"/>
    <col min="13332" max="13332" width="12.44140625" style="343" bestFit="1" customWidth="1"/>
    <col min="13333" max="13569" width="8.88671875" style="343"/>
    <col min="13570" max="13570" width="2.6640625" style="343" customWidth="1"/>
    <col min="13571" max="13571" width="6.44140625" style="343" customWidth="1"/>
    <col min="13572" max="13573" width="12.44140625" style="343" customWidth="1"/>
    <col min="13574" max="13574" width="11.33203125" style="343" bestFit="1" customWidth="1"/>
    <col min="13575" max="13587" width="8.88671875" style="343"/>
    <col min="13588" max="13588" width="12.44140625" style="343" bestFit="1" customWidth="1"/>
    <col min="13589" max="13825" width="8.88671875" style="343"/>
    <col min="13826" max="13826" width="2.6640625" style="343" customWidth="1"/>
    <col min="13827" max="13827" width="6.44140625" style="343" customWidth="1"/>
    <col min="13828" max="13829" width="12.44140625" style="343" customWidth="1"/>
    <col min="13830" max="13830" width="11.33203125" style="343" bestFit="1" customWidth="1"/>
    <col min="13831" max="13843" width="8.88671875" style="343"/>
    <col min="13844" max="13844" width="12.44140625" style="343" bestFit="1" customWidth="1"/>
    <col min="13845" max="14081" width="8.88671875" style="343"/>
    <col min="14082" max="14082" width="2.6640625" style="343" customWidth="1"/>
    <col min="14083" max="14083" width="6.44140625" style="343" customWidth="1"/>
    <col min="14084" max="14085" width="12.44140625" style="343" customWidth="1"/>
    <col min="14086" max="14086" width="11.33203125" style="343" bestFit="1" customWidth="1"/>
    <col min="14087" max="14099" width="8.88671875" style="343"/>
    <col min="14100" max="14100" width="12.44140625" style="343" bestFit="1" customWidth="1"/>
    <col min="14101" max="14337" width="8.88671875" style="343"/>
    <col min="14338" max="14338" width="2.6640625" style="343" customWidth="1"/>
    <col min="14339" max="14339" width="6.44140625" style="343" customWidth="1"/>
    <col min="14340" max="14341" width="12.44140625" style="343" customWidth="1"/>
    <col min="14342" max="14342" width="11.33203125" style="343" bestFit="1" customWidth="1"/>
    <col min="14343" max="14355" width="8.88671875" style="343"/>
    <col min="14356" max="14356" width="12.44140625" style="343" bestFit="1" customWidth="1"/>
    <col min="14357" max="14593" width="8.88671875" style="343"/>
    <col min="14594" max="14594" width="2.6640625" style="343" customWidth="1"/>
    <col min="14595" max="14595" width="6.44140625" style="343" customWidth="1"/>
    <col min="14596" max="14597" width="12.44140625" style="343" customWidth="1"/>
    <col min="14598" max="14598" width="11.33203125" style="343" bestFit="1" customWidth="1"/>
    <col min="14599" max="14611" width="8.88671875" style="343"/>
    <col min="14612" max="14612" width="12.44140625" style="343" bestFit="1" customWidth="1"/>
    <col min="14613" max="14849" width="8.88671875" style="343"/>
    <col min="14850" max="14850" width="2.6640625" style="343" customWidth="1"/>
    <col min="14851" max="14851" width="6.44140625" style="343" customWidth="1"/>
    <col min="14852" max="14853" width="12.44140625" style="343" customWidth="1"/>
    <col min="14854" max="14854" width="11.33203125" style="343" bestFit="1" customWidth="1"/>
    <col min="14855" max="14867" width="8.88671875" style="343"/>
    <col min="14868" max="14868" width="12.44140625" style="343" bestFit="1" customWidth="1"/>
    <col min="14869" max="15105" width="8.88671875" style="343"/>
    <col min="15106" max="15106" width="2.6640625" style="343" customWidth="1"/>
    <col min="15107" max="15107" width="6.44140625" style="343" customWidth="1"/>
    <col min="15108" max="15109" width="12.44140625" style="343" customWidth="1"/>
    <col min="15110" max="15110" width="11.33203125" style="343" bestFit="1" customWidth="1"/>
    <col min="15111" max="15123" width="8.88671875" style="343"/>
    <col min="15124" max="15124" width="12.44140625" style="343" bestFit="1" customWidth="1"/>
    <col min="15125" max="15361" width="8.88671875" style="343"/>
    <col min="15362" max="15362" width="2.6640625" style="343" customWidth="1"/>
    <col min="15363" max="15363" width="6.44140625" style="343" customWidth="1"/>
    <col min="15364" max="15365" width="12.44140625" style="343" customWidth="1"/>
    <col min="15366" max="15366" width="11.33203125" style="343" bestFit="1" customWidth="1"/>
    <col min="15367" max="15379" width="8.88671875" style="343"/>
    <col min="15380" max="15380" width="12.44140625" style="343" bestFit="1" customWidth="1"/>
    <col min="15381" max="15617" width="8.88671875" style="343"/>
    <col min="15618" max="15618" width="2.6640625" style="343" customWidth="1"/>
    <col min="15619" max="15619" width="6.44140625" style="343" customWidth="1"/>
    <col min="15620" max="15621" width="12.44140625" style="343" customWidth="1"/>
    <col min="15622" max="15622" width="11.33203125" style="343" bestFit="1" customWidth="1"/>
    <col min="15623" max="15635" width="8.88671875" style="343"/>
    <col min="15636" max="15636" width="12.44140625" style="343" bestFit="1" customWidth="1"/>
    <col min="15637" max="15873" width="8.88671875" style="343"/>
    <col min="15874" max="15874" width="2.6640625" style="343" customWidth="1"/>
    <col min="15875" max="15875" width="6.44140625" style="343" customWidth="1"/>
    <col min="15876" max="15877" width="12.44140625" style="343" customWidth="1"/>
    <col min="15878" max="15878" width="11.33203125" style="343" bestFit="1" customWidth="1"/>
    <col min="15879" max="15891" width="8.88671875" style="343"/>
    <col min="15892" max="15892" width="12.44140625" style="343" bestFit="1" customWidth="1"/>
    <col min="15893" max="16129" width="8.88671875" style="343"/>
    <col min="16130" max="16130" width="2.6640625" style="343" customWidth="1"/>
    <col min="16131" max="16131" width="6.44140625" style="343" customWidth="1"/>
    <col min="16132" max="16133" width="12.44140625" style="343" customWidth="1"/>
    <col min="16134" max="16134" width="11.33203125" style="343" bestFit="1" customWidth="1"/>
    <col min="16135" max="16147" width="8.88671875" style="343"/>
    <col min="16148" max="16148" width="12.44140625" style="343" bestFit="1" customWidth="1"/>
    <col min="16149" max="16384" width="8.88671875" style="343"/>
  </cols>
  <sheetData>
    <row r="1" spans="1:18" s="317" customFormat="1">
      <c r="A1" s="316" t="s">
        <v>333</v>
      </c>
    </row>
    <row r="2" spans="1:18" s="317" customFormat="1"/>
    <row r="4" spans="1:18" s="337" customFormat="1">
      <c r="J4" s="338" t="s">
        <v>334</v>
      </c>
      <c r="K4" s="339">
        <v>0.5</v>
      </c>
      <c r="L4" s="337">
        <f>1-K4</f>
        <v>0.5</v>
      </c>
      <c r="O4" s="338" t="s">
        <v>334</v>
      </c>
      <c r="P4" s="339">
        <v>0.5</v>
      </c>
      <c r="Q4" s="337">
        <f>1-P4</f>
        <v>0.5</v>
      </c>
    </row>
    <row r="5" spans="1:18" s="340" customFormat="1">
      <c r="J5" s="338" t="s">
        <v>335</v>
      </c>
      <c r="K5" s="341">
        <v>0</v>
      </c>
      <c r="L5" s="341">
        <v>-1</v>
      </c>
      <c r="O5" s="338" t="s">
        <v>335</v>
      </c>
      <c r="P5" s="341">
        <v>2</v>
      </c>
      <c r="Q5" s="341">
        <v>-2</v>
      </c>
    </row>
    <row r="6" spans="1:18" s="337" customFormat="1">
      <c r="J6" s="338" t="s">
        <v>336</v>
      </c>
      <c r="K6" s="341">
        <v>1</v>
      </c>
      <c r="L6" s="341">
        <v>4</v>
      </c>
      <c r="O6" s="338" t="s">
        <v>336</v>
      </c>
      <c r="P6" s="341">
        <v>1</v>
      </c>
      <c r="Q6" s="341">
        <v>1</v>
      </c>
    </row>
    <row r="7" spans="1:18" s="337" customFormat="1">
      <c r="J7" s="342"/>
      <c r="K7" s="343"/>
      <c r="O7" s="342"/>
      <c r="P7" s="343"/>
    </row>
    <row r="8" spans="1:18" s="344" customFormat="1">
      <c r="J8" s="345" t="s">
        <v>85</v>
      </c>
      <c r="K8" s="346" t="str">
        <f>"N("&amp;K5&amp;", "&amp;K6&amp;")"</f>
        <v>N(0, 1)</v>
      </c>
      <c r="L8" s="346" t="str">
        <f>"N("&amp;L5&amp;", "&amp;L6&amp;")"</f>
        <v>N(-1, 4)</v>
      </c>
      <c r="M8" s="347" t="str">
        <f>K4&amp;"N("&amp;K5&amp;","&amp;K6&amp;") + "&amp;L4&amp;"N("&amp;L5&amp;","&amp;L6&amp;")"</f>
        <v>0.5N(0,1) + 0.5N(-1,4)</v>
      </c>
      <c r="O8" s="345" t="s">
        <v>85</v>
      </c>
      <c r="P8" s="346" t="str">
        <f>"N("&amp;P5&amp;", "&amp;P6&amp;")"</f>
        <v>N(2, 1)</v>
      </c>
      <c r="Q8" s="346" t="str">
        <f>"N("&amp;Q5&amp;", "&amp;Q6&amp;")"</f>
        <v>N(-2, 1)</v>
      </c>
      <c r="R8" s="347" t="str">
        <f>P4&amp;"N("&amp;P5&amp;","&amp;P6&amp;") + "&amp;Q4&amp;"N("&amp;Q5&amp;","&amp;Q6&amp;")"</f>
        <v>0.5N(2,1) + 0.5N(-2,1)</v>
      </c>
    </row>
    <row r="9" spans="1:18">
      <c r="J9" s="349">
        <f t="shared" ref="J9:J22" si="0">J10-0.5</f>
        <v>-7</v>
      </c>
      <c r="K9" s="350">
        <f t="shared" ref="K9:L37" si="1">_xlfn.NORM.DIST($J9,K$5,K$6,FALSE)</f>
        <v>9.1347204083645936E-12</v>
      </c>
      <c r="L9" s="350">
        <f t="shared" si="1"/>
        <v>3.2379398916472936E-2</v>
      </c>
      <c r="M9" s="350">
        <f t="shared" ref="M9:M37" si="2">$K$4*K9+(1-$K$4)*L9</f>
        <v>1.6189699462803828E-2</v>
      </c>
      <c r="O9" s="349">
        <f t="shared" ref="O9:O22" si="3">O10-0.5</f>
        <v>-7</v>
      </c>
      <c r="P9" s="350">
        <f>_xlfn.NORM.DIST($O9,P$5,P$6,FALSE)</f>
        <v>1.0279773571668917E-18</v>
      </c>
      <c r="Q9" s="350">
        <f>_xlfn.NORM.DIST($O9,Q$5,Q$6,FALSE)</f>
        <v>1.4867195147342977E-6</v>
      </c>
      <c r="R9" s="350">
        <f>$P$4*P9+(1-$P$4)*Q9</f>
        <v>7.4335975736766278E-7</v>
      </c>
    </row>
    <row r="10" spans="1:18">
      <c r="J10" s="349">
        <f t="shared" si="0"/>
        <v>-6.5</v>
      </c>
      <c r="K10" s="350">
        <f t="shared" si="1"/>
        <v>2.6695566147628519E-10</v>
      </c>
      <c r="L10" s="350">
        <f t="shared" si="1"/>
        <v>3.8753066364573305E-2</v>
      </c>
      <c r="M10" s="350">
        <f t="shared" si="2"/>
        <v>1.9376533315764482E-2</v>
      </c>
      <c r="O10" s="349">
        <f t="shared" si="3"/>
        <v>-6.5</v>
      </c>
      <c r="P10" s="350">
        <f t="shared" ref="P10:Q37" si="4">_xlfn.NORM.DIST($O10,P$5,P$6,FALSE)</f>
        <v>8.1662356316695502E-17</v>
      </c>
      <c r="Q10" s="350">
        <f t="shared" si="4"/>
        <v>1.5983741106905475E-5</v>
      </c>
      <c r="R10" s="350">
        <f t="shared" ref="R10:R37" si="5">$P$4*P10+(1-$P$4)*Q10</f>
        <v>7.9918705534935677E-6</v>
      </c>
    </row>
    <row r="11" spans="1:18">
      <c r="J11" s="349">
        <f t="shared" si="0"/>
        <v>-6</v>
      </c>
      <c r="K11" s="350">
        <f t="shared" si="1"/>
        <v>6.0758828498232861E-9</v>
      </c>
      <c r="L11" s="350">
        <f t="shared" si="1"/>
        <v>4.5662271347255479E-2</v>
      </c>
      <c r="M11" s="350">
        <f t="shared" si="2"/>
        <v>2.2831138711569166E-2</v>
      </c>
      <c r="O11" s="349">
        <f t="shared" si="3"/>
        <v>-6</v>
      </c>
      <c r="P11" s="350">
        <f t="shared" si="4"/>
        <v>5.0522710835368927E-15</v>
      </c>
      <c r="Q11" s="350">
        <f t="shared" si="4"/>
        <v>1.3383022576488537E-4</v>
      </c>
      <c r="R11" s="350">
        <f t="shared" si="5"/>
        <v>6.6915112884968821E-5</v>
      </c>
    </row>
    <row r="12" spans="1:18">
      <c r="J12" s="349">
        <f t="shared" si="0"/>
        <v>-5.5</v>
      </c>
      <c r="K12" s="350">
        <f t="shared" si="1"/>
        <v>1.0769760042543276E-7</v>
      </c>
      <c r="L12" s="350">
        <f t="shared" si="1"/>
        <v>5.296916144392487E-2</v>
      </c>
      <c r="M12" s="350">
        <f t="shared" si="2"/>
        <v>2.6484634570762649E-2</v>
      </c>
      <c r="O12" s="349">
        <f t="shared" si="3"/>
        <v>-5.5</v>
      </c>
      <c r="P12" s="350">
        <f t="shared" si="4"/>
        <v>2.4343205330290096E-13</v>
      </c>
      <c r="Q12" s="350">
        <f t="shared" si="4"/>
        <v>8.7268269504576015E-4</v>
      </c>
      <c r="R12" s="350">
        <f t="shared" si="5"/>
        <v>4.3634134764459608E-4</v>
      </c>
    </row>
    <row r="13" spans="1:18">
      <c r="J13" s="349">
        <f t="shared" si="0"/>
        <v>-5</v>
      </c>
      <c r="K13" s="350">
        <f t="shared" si="1"/>
        <v>1.4867195147342977E-6</v>
      </c>
      <c r="L13" s="350">
        <f t="shared" si="1"/>
        <v>6.0492681129785841E-2</v>
      </c>
      <c r="M13" s="350">
        <f t="shared" si="2"/>
        <v>3.0247083924650288E-2</v>
      </c>
      <c r="O13" s="349">
        <f t="shared" si="3"/>
        <v>-5</v>
      </c>
      <c r="P13" s="350">
        <f t="shared" si="4"/>
        <v>9.1347204083645936E-12</v>
      </c>
      <c r="Q13" s="350">
        <f t="shared" si="4"/>
        <v>4.4318484119380075E-3</v>
      </c>
      <c r="R13" s="350">
        <f t="shared" si="5"/>
        <v>2.2159242105363641E-3</v>
      </c>
    </row>
    <row r="14" spans="1:18">
      <c r="J14" s="349">
        <f t="shared" si="0"/>
        <v>-4.5</v>
      </c>
      <c r="K14" s="350">
        <f t="shared" si="1"/>
        <v>1.5983741106905475E-5</v>
      </c>
      <c r="L14" s="350">
        <f t="shared" si="1"/>
        <v>6.8013749594635881E-2</v>
      </c>
      <c r="M14" s="350">
        <f t="shared" si="2"/>
        <v>3.4014866667871395E-2</v>
      </c>
      <c r="O14" s="349">
        <f t="shared" si="3"/>
        <v>-4.5</v>
      </c>
      <c r="P14" s="350">
        <f t="shared" si="4"/>
        <v>2.6695566147628519E-10</v>
      </c>
      <c r="Q14" s="350">
        <f t="shared" si="4"/>
        <v>1.752830049356854E-2</v>
      </c>
      <c r="R14" s="350">
        <f t="shared" si="5"/>
        <v>8.7641503802621014E-3</v>
      </c>
    </row>
    <row r="15" spans="1:18">
      <c r="J15" s="349">
        <f t="shared" si="0"/>
        <v>-4</v>
      </c>
      <c r="K15" s="350">
        <f t="shared" si="1"/>
        <v>1.3383022576488537E-4</v>
      </c>
      <c r="L15" s="350">
        <f t="shared" si="1"/>
        <v>7.5284358038701107E-2</v>
      </c>
      <c r="M15" s="350">
        <f t="shared" si="2"/>
        <v>3.7709094132232994E-2</v>
      </c>
      <c r="O15" s="349">
        <f t="shared" si="3"/>
        <v>-4</v>
      </c>
      <c r="P15" s="350">
        <f t="shared" si="4"/>
        <v>6.0758828498232861E-9</v>
      </c>
      <c r="Q15" s="350">
        <f t="shared" si="4"/>
        <v>5.3990966513188063E-2</v>
      </c>
      <c r="R15" s="350">
        <f t="shared" si="5"/>
        <v>2.6995486294535458E-2</v>
      </c>
    </row>
    <row r="16" spans="1:18">
      <c r="J16" s="349">
        <f t="shared" si="0"/>
        <v>-3.5</v>
      </c>
      <c r="K16" s="350">
        <f t="shared" si="1"/>
        <v>8.7268269504576015E-4</v>
      </c>
      <c r="L16" s="350">
        <f t="shared" si="1"/>
        <v>8.2040242137593769E-2</v>
      </c>
      <c r="M16" s="350">
        <f t="shared" si="2"/>
        <v>4.1456462416319763E-2</v>
      </c>
      <c r="O16" s="349">
        <f t="shared" si="3"/>
        <v>-3.5</v>
      </c>
      <c r="P16" s="350">
        <f t="shared" si="4"/>
        <v>1.0769760042543276E-7</v>
      </c>
      <c r="Q16" s="350">
        <f t="shared" si="4"/>
        <v>0.12951759566589174</v>
      </c>
      <c r="R16" s="350">
        <f t="shared" si="5"/>
        <v>6.4758851681746082E-2</v>
      </c>
    </row>
    <row r="17" spans="10:18">
      <c r="J17" s="349">
        <f t="shared" si="0"/>
        <v>-3</v>
      </c>
      <c r="K17" s="350">
        <f t="shared" si="1"/>
        <v>4.4318484119380075E-3</v>
      </c>
      <c r="L17" s="350">
        <f t="shared" si="1"/>
        <v>8.8016331691074881E-2</v>
      </c>
      <c r="M17" s="350">
        <f t="shared" si="2"/>
        <v>4.6224090051506447E-2</v>
      </c>
      <c r="O17" s="349">
        <f t="shared" si="3"/>
        <v>-3</v>
      </c>
      <c r="P17" s="350">
        <f t="shared" si="4"/>
        <v>1.4867195147342977E-6</v>
      </c>
      <c r="Q17" s="350">
        <f t="shared" si="4"/>
        <v>0.24197072451914337</v>
      </c>
      <c r="R17" s="350">
        <f t="shared" si="5"/>
        <v>0.12098610561932904</v>
      </c>
    </row>
    <row r="18" spans="10:18">
      <c r="J18" s="349">
        <f t="shared" si="0"/>
        <v>-2.5</v>
      </c>
      <c r="K18" s="350">
        <f t="shared" si="1"/>
        <v>1.752830049356854E-2</v>
      </c>
      <c r="L18" s="350">
        <f t="shared" si="1"/>
        <v>9.2963773467442237E-2</v>
      </c>
      <c r="M18" s="350">
        <f t="shared" si="2"/>
        <v>5.5246036980505391E-2</v>
      </c>
      <c r="O18" s="349">
        <f t="shared" si="3"/>
        <v>-2.5</v>
      </c>
      <c r="P18" s="350">
        <f t="shared" si="4"/>
        <v>1.5983741106905475E-5</v>
      </c>
      <c r="Q18" s="350">
        <f t="shared" si="4"/>
        <v>0.35206532676429952</v>
      </c>
      <c r="R18" s="350">
        <f t="shared" si="5"/>
        <v>0.17604065525270321</v>
      </c>
    </row>
    <row r="19" spans="10:18">
      <c r="J19" s="349">
        <f t="shared" si="0"/>
        <v>-2</v>
      </c>
      <c r="K19" s="350">
        <f t="shared" si="1"/>
        <v>5.3990966513188063E-2</v>
      </c>
      <c r="L19" s="350">
        <f t="shared" si="1"/>
        <v>9.6667029200712309E-2</v>
      </c>
      <c r="M19" s="350">
        <f t="shared" si="2"/>
        <v>7.5328997856950186E-2</v>
      </c>
      <c r="O19" s="349">
        <f t="shared" si="3"/>
        <v>-2</v>
      </c>
      <c r="P19" s="350">
        <f t="shared" si="4"/>
        <v>1.3383022576488537E-4</v>
      </c>
      <c r="Q19" s="350">
        <f t="shared" si="4"/>
        <v>0.3989422804014327</v>
      </c>
      <c r="R19" s="350">
        <f t="shared" si="5"/>
        <v>0.19953805531359881</v>
      </c>
    </row>
    <row r="20" spans="10:18">
      <c r="J20" s="349">
        <f t="shared" si="0"/>
        <v>-1.5</v>
      </c>
      <c r="K20" s="350">
        <f t="shared" si="1"/>
        <v>0.12951759566589174</v>
      </c>
      <c r="L20" s="350">
        <f t="shared" si="1"/>
        <v>9.8959421736187381E-2</v>
      </c>
      <c r="M20" s="350">
        <f t="shared" si="2"/>
        <v>0.11423850870103956</v>
      </c>
      <c r="O20" s="349">
        <f t="shared" si="3"/>
        <v>-1.5</v>
      </c>
      <c r="P20" s="350">
        <f t="shared" si="4"/>
        <v>8.7268269504576015E-4</v>
      </c>
      <c r="Q20" s="350">
        <f t="shared" si="4"/>
        <v>0.35206532676429952</v>
      </c>
      <c r="R20" s="350">
        <f t="shared" si="5"/>
        <v>0.17646900472967264</v>
      </c>
    </row>
    <row r="21" spans="10:18">
      <c r="J21" s="349">
        <f t="shared" si="0"/>
        <v>-1</v>
      </c>
      <c r="K21" s="350">
        <f t="shared" si="1"/>
        <v>0.24197072451914337</v>
      </c>
      <c r="L21" s="350">
        <f t="shared" si="1"/>
        <v>9.9735570100358176E-2</v>
      </c>
      <c r="M21" s="350">
        <f t="shared" si="2"/>
        <v>0.17085314730975076</v>
      </c>
      <c r="O21" s="349">
        <f t="shared" si="3"/>
        <v>-1</v>
      </c>
      <c r="P21" s="350">
        <f t="shared" si="4"/>
        <v>4.4318484119380075E-3</v>
      </c>
      <c r="Q21" s="350">
        <f t="shared" si="4"/>
        <v>0.24197072451914337</v>
      </c>
      <c r="R21" s="350">
        <f t="shared" si="5"/>
        <v>0.12320128646554068</v>
      </c>
    </row>
    <row r="22" spans="10:18">
      <c r="J22" s="349">
        <f t="shared" si="0"/>
        <v>-0.5</v>
      </c>
      <c r="K22" s="350">
        <f t="shared" si="1"/>
        <v>0.35206532676429952</v>
      </c>
      <c r="L22" s="350">
        <f t="shared" si="1"/>
        <v>9.8959421736187381E-2</v>
      </c>
      <c r="M22" s="350">
        <f t="shared" si="2"/>
        <v>0.22551237425024345</v>
      </c>
      <c r="O22" s="349">
        <f t="shared" si="3"/>
        <v>-0.5</v>
      </c>
      <c r="P22" s="350">
        <f t="shared" si="4"/>
        <v>1.752830049356854E-2</v>
      </c>
      <c r="Q22" s="350">
        <f t="shared" si="4"/>
        <v>0.12951759566589174</v>
      </c>
      <c r="R22" s="350">
        <f t="shared" si="5"/>
        <v>7.3522948079730144E-2</v>
      </c>
    </row>
    <row r="23" spans="10:18">
      <c r="J23" s="349">
        <v>0</v>
      </c>
      <c r="K23" s="350">
        <f t="shared" si="1"/>
        <v>0.3989422804014327</v>
      </c>
      <c r="L23" s="350">
        <f t="shared" si="1"/>
        <v>9.6667029200712309E-2</v>
      </c>
      <c r="M23" s="350">
        <f t="shared" si="2"/>
        <v>0.2478046548010725</v>
      </c>
      <c r="O23" s="349">
        <v>0</v>
      </c>
      <c r="P23" s="350">
        <f t="shared" si="4"/>
        <v>5.3990966513188063E-2</v>
      </c>
      <c r="Q23" s="350">
        <f t="shared" si="4"/>
        <v>5.3990966513188063E-2</v>
      </c>
      <c r="R23" s="350">
        <f t="shared" si="5"/>
        <v>5.3990966513188063E-2</v>
      </c>
    </row>
    <row r="24" spans="10:18">
      <c r="J24" s="349">
        <f t="shared" ref="J24:J37" si="6">J23+0.5</f>
        <v>0.5</v>
      </c>
      <c r="K24" s="350">
        <f t="shared" si="1"/>
        <v>0.35206532676429952</v>
      </c>
      <c r="L24" s="350">
        <f t="shared" si="1"/>
        <v>9.2963773467442237E-2</v>
      </c>
      <c r="M24" s="350">
        <f t="shared" si="2"/>
        <v>0.22251455011587087</v>
      </c>
      <c r="O24" s="349">
        <f t="shared" ref="O24:O37" si="7">O23+0.5</f>
        <v>0.5</v>
      </c>
      <c r="P24" s="350">
        <f t="shared" si="4"/>
        <v>0.12951759566589174</v>
      </c>
      <c r="Q24" s="350">
        <f t="shared" si="4"/>
        <v>1.752830049356854E-2</v>
      </c>
      <c r="R24" s="350">
        <f t="shared" si="5"/>
        <v>7.3522948079730144E-2</v>
      </c>
    </row>
    <row r="25" spans="10:18">
      <c r="J25" s="349">
        <f t="shared" si="6"/>
        <v>1</v>
      </c>
      <c r="K25" s="350">
        <f t="shared" si="1"/>
        <v>0.24197072451914337</v>
      </c>
      <c r="L25" s="350">
        <f t="shared" si="1"/>
        <v>8.8016331691074881E-2</v>
      </c>
      <c r="M25" s="350">
        <f t="shared" si="2"/>
        <v>0.16499352810510912</v>
      </c>
      <c r="O25" s="349">
        <f t="shared" si="7"/>
        <v>1</v>
      </c>
      <c r="P25" s="350">
        <f t="shared" si="4"/>
        <v>0.24197072451914337</v>
      </c>
      <c r="Q25" s="350">
        <f t="shared" si="4"/>
        <v>4.4318484119380075E-3</v>
      </c>
      <c r="R25" s="350">
        <f t="shared" si="5"/>
        <v>0.12320128646554068</v>
      </c>
    </row>
    <row r="26" spans="10:18">
      <c r="J26" s="349">
        <f t="shared" si="6"/>
        <v>1.5</v>
      </c>
      <c r="K26" s="350">
        <f t="shared" si="1"/>
        <v>0.12951759566589174</v>
      </c>
      <c r="L26" s="350">
        <f t="shared" si="1"/>
        <v>8.2040242137593769E-2</v>
      </c>
      <c r="M26" s="350">
        <f t="shared" si="2"/>
        <v>0.10577891890174276</v>
      </c>
      <c r="O26" s="349">
        <f t="shared" si="7"/>
        <v>1.5</v>
      </c>
      <c r="P26" s="350">
        <f t="shared" si="4"/>
        <v>0.35206532676429952</v>
      </c>
      <c r="Q26" s="350">
        <f t="shared" si="4"/>
        <v>8.7268269504576015E-4</v>
      </c>
      <c r="R26" s="350">
        <f t="shared" si="5"/>
        <v>0.17646900472967264</v>
      </c>
    </row>
    <row r="27" spans="10:18">
      <c r="J27" s="349">
        <f t="shared" si="6"/>
        <v>2</v>
      </c>
      <c r="K27" s="350">
        <f t="shared" si="1"/>
        <v>5.3990966513188063E-2</v>
      </c>
      <c r="L27" s="350">
        <f t="shared" si="1"/>
        <v>7.5284358038701107E-2</v>
      </c>
      <c r="M27" s="350">
        <f t="shared" si="2"/>
        <v>6.4637662275944585E-2</v>
      </c>
      <c r="O27" s="349">
        <f t="shared" si="7"/>
        <v>2</v>
      </c>
      <c r="P27" s="350">
        <f t="shared" si="4"/>
        <v>0.3989422804014327</v>
      </c>
      <c r="Q27" s="350">
        <f t="shared" si="4"/>
        <v>1.3383022576488537E-4</v>
      </c>
      <c r="R27" s="350">
        <f t="shared" si="5"/>
        <v>0.19953805531359881</v>
      </c>
    </row>
    <row r="28" spans="10:18">
      <c r="J28" s="349">
        <f t="shared" si="6"/>
        <v>2.5</v>
      </c>
      <c r="K28" s="350">
        <f t="shared" si="1"/>
        <v>1.752830049356854E-2</v>
      </c>
      <c r="L28" s="350">
        <f t="shared" si="1"/>
        <v>6.8013749594635881E-2</v>
      </c>
      <c r="M28" s="350">
        <f t="shared" si="2"/>
        <v>4.2771025044102212E-2</v>
      </c>
      <c r="O28" s="349">
        <f t="shared" si="7"/>
        <v>2.5</v>
      </c>
      <c r="P28" s="350">
        <f t="shared" si="4"/>
        <v>0.35206532676429952</v>
      </c>
      <c r="Q28" s="350">
        <f t="shared" si="4"/>
        <v>1.5983741106905475E-5</v>
      </c>
      <c r="R28" s="350">
        <f t="shared" si="5"/>
        <v>0.17604065525270321</v>
      </c>
    </row>
    <row r="29" spans="10:18">
      <c r="J29" s="349">
        <f t="shared" si="6"/>
        <v>3</v>
      </c>
      <c r="K29" s="350">
        <f t="shared" si="1"/>
        <v>4.4318484119380075E-3</v>
      </c>
      <c r="L29" s="350">
        <f t="shared" si="1"/>
        <v>6.0492681129785841E-2</v>
      </c>
      <c r="M29" s="350">
        <f t="shared" si="2"/>
        <v>3.2462264770861927E-2</v>
      </c>
      <c r="O29" s="349">
        <f t="shared" si="7"/>
        <v>3</v>
      </c>
      <c r="P29" s="350">
        <f t="shared" si="4"/>
        <v>0.24197072451914337</v>
      </c>
      <c r="Q29" s="350">
        <f t="shared" si="4"/>
        <v>1.4867195147342977E-6</v>
      </c>
      <c r="R29" s="350">
        <f t="shared" si="5"/>
        <v>0.12098610561932904</v>
      </c>
    </row>
    <row r="30" spans="10:18">
      <c r="J30" s="349">
        <f t="shared" si="6"/>
        <v>3.5</v>
      </c>
      <c r="K30" s="350">
        <f t="shared" si="1"/>
        <v>8.7268269504576015E-4</v>
      </c>
      <c r="L30" s="350">
        <f t="shared" si="1"/>
        <v>5.296916144392487E-2</v>
      </c>
      <c r="M30" s="350">
        <f t="shared" si="2"/>
        <v>2.6920922069485313E-2</v>
      </c>
      <c r="O30" s="349">
        <f t="shared" si="7"/>
        <v>3.5</v>
      </c>
      <c r="P30" s="350">
        <f t="shared" si="4"/>
        <v>0.12951759566589174</v>
      </c>
      <c r="Q30" s="350">
        <f t="shared" si="4"/>
        <v>1.0769760042543276E-7</v>
      </c>
      <c r="R30" s="350">
        <f t="shared" si="5"/>
        <v>6.4758851681746082E-2</v>
      </c>
    </row>
    <row r="31" spans="10:18">
      <c r="J31" s="349">
        <f t="shared" si="6"/>
        <v>4</v>
      </c>
      <c r="K31" s="350">
        <f t="shared" si="1"/>
        <v>1.3383022576488537E-4</v>
      </c>
      <c r="L31" s="350">
        <f t="shared" si="1"/>
        <v>4.5662271347255479E-2</v>
      </c>
      <c r="M31" s="350">
        <f t="shared" si="2"/>
        <v>2.2898050786510183E-2</v>
      </c>
      <c r="O31" s="349">
        <f t="shared" si="7"/>
        <v>4</v>
      </c>
      <c r="P31" s="350">
        <f t="shared" si="4"/>
        <v>5.3990966513188063E-2</v>
      </c>
      <c r="Q31" s="350">
        <f t="shared" si="4"/>
        <v>6.0758828498232861E-9</v>
      </c>
      <c r="R31" s="350">
        <f t="shared" si="5"/>
        <v>2.6995486294535458E-2</v>
      </c>
    </row>
    <row r="32" spans="10:18">
      <c r="J32" s="349">
        <f t="shared" si="6"/>
        <v>4.5</v>
      </c>
      <c r="K32" s="350">
        <f t="shared" si="1"/>
        <v>1.5983741106905475E-5</v>
      </c>
      <c r="L32" s="350">
        <f t="shared" si="1"/>
        <v>3.8753066364573305E-2</v>
      </c>
      <c r="M32" s="350">
        <f t="shared" si="2"/>
        <v>1.9384525052840103E-2</v>
      </c>
      <c r="O32" s="349">
        <f t="shared" si="7"/>
        <v>4.5</v>
      </c>
      <c r="P32" s="350">
        <f t="shared" si="4"/>
        <v>1.752830049356854E-2</v>
      </c>
      <c r="Q32" s="350">
        <f t="shared" si="4"/>
        <v>2.6695566147628519E-10</v>
      </c>
      <c r="R32" s="350">
        <f t="shared" si="5"/>
        <v>8.7641503802621014E-3</v>
      </c>
    </row>
    <row r="33" spans="10:18">
      <c r="J33" s="349">
        <f t="shared" si="6"/>
        <v>5</v>
      </c>
      <c r="K33" s="350">
        <f t="shared" si="1"/>
        <v>1.4867195147342977E-6</v>
      </c>
      <c r="L33" s="350">
        <f t="shared" si="1"/>
        <v>3.2379398916472936E-2</v>
      </c>
      <c r="M33" s="350">
        <f t="shared" si="2"/>
        <v>1.6190442817993835E-2</v>
      </c>
      <c r="O33" s="349">
        <f t="shared" si="7"/>
        <v>5</v>
      </c>
      <c r="P33" s="350">
        <f t="shared" si="4"/>
        <v>4.4318484119380075E-3</v>
      </c>
      <c r="Q33" s="350">
        <f t="shared" si="4"/>
        <v>9.1347204083645936E-12</v>
      </c>
      <c r="R33" s="350">
        <f t="shared" si="5"/>
        <v>2.2159242105363641E-3</v>
      </c>
    </row>
    <row r="34" spans="10:18">
      <c r="J34" s="349">
        <f t="shared" si="6"/>
        <v>5.5</v>
      </c>
      <c r="K34" s="350">
        <f t="shared" si="1"/>
        <v>1.0769760042543276E-7</v>
      </c>
      <c r="L34" s="350">
        <f t="shared" si="1"/>
        <v>2.6634567032646269E-2</v>
      </c>
      <c r="M34" s="350">
        <f t="shared" si="2"/>
        <v>1.3317337365123347E-2</v>
      </c>
      <c r="O34" s="349">
        <f t="shared" si="7"/>
        <v>5.5</v>
      </c>
      <c r="P34" s="350">
        <f t="shared" si="4"/>
        <v>8.7268269504576015E-4</v>
      </c>
      <c r="Q34" s="350">
        <f t="shared" si="4"/>
        <v>2.4343205330290096E-13</v>
      </c>
      <c r="R34" s="350">
        <f t="shared" si="5"/>
        <v>4.3634134764459608E-4</v>
      </c>
    </row>
    <row r="35" spans="10:18">
      <c r="J35" s="349">
        <f t="shared" si="6"/>
        <v>6</v>
      </c>
      <c r="K35" s="350">
        <f t="shared" si="1"/>
        <v>6.0758828498232861E-9</v>
      </c>
      <c r="L35" s="350">
        <f t="shared" si="1"/>
        <v>2.1569329706627883E-2</v>
      </c>
      <c r="M35" s="350">
        <f t="shared" si="2"/>
        <v>1.0784667891255366E-2</v>
      </c>
      <c r="O35" s="349">
        <f t="shared" si="7"/>
        <v>6</v>
      </c>
      <c r="P35" s="350">
        <f t="shared" si="4"/>
        <v>1.3383022576488537E-4</v>
      </c>
      <c r="Q35" s="350">
        <f t="shared" si="4"/>
        <v>5.0522710835368927E-15</v>
      </c>
      <c r="R35" s="350">
        <f t="shared" si="5"/>
        <v>6.6915112884968821E-5</v>
      </c>
    </row>
    <row r="36" spans="10:18">
      <c r="J36" s="349">
        <f t="shared" si="6"/>
        <v>6.5</v>
      </c>
      <c r="K36" s="350">
        <f t="shared" si="1"/>
        <v>2.6695566147628519E-10</v>
      </c>
      <c r="L36" s="350">
        <f t="shared" si="1"/>
        <v>1.7196568956672976E-2</v>
      </c>
      <c r="M36" s="350">
        <f t="shared" si="2"/>
        <v>8.5982846118143191E-3</v>
      </c>
      <c r="O36" s="349">
        <f t="shared" si="7"/>
        <v>6.5</v>
      </c>
      <c r="P36" s="350">
        <f t="shared" si="4"/>
        <v>1.5983741106905475E-5</v>
      </c>
      <c r="Q36" s="350">
        <f t="shared" si="4"/>
        <v>8.1662356316695502E-17</v>
      </c>
      <c r="R36" s="350">
        <f t="shared" si="5"/>
        <v>7.9918705534935677E-6</v>
      </c>
    </row>
    <row r="37" spans="10:18">
      <c r="J37" s="349">
        <f t="shared" si="6"/>
        <v>7</v>
      </c>
      <c r="K37" s="350">
        <f t="shared" si="1"/>
        <v>9.1347204083645936E-12</v>
      </c>
      <c r="L37" s="350">
        <f t="shared" si="1"/>
        <v>1.3497741628297016E-2</v>
      </c>
      <c r="M37" s="350">
        <f t="shared" si="2"/>
        <v>6.7488708187158682E-3</v>
      </c>
      <c r="O37" s="349">
        <f t="shared" si="7"/>
        <v>7</v>
      </c>
      <c r="P37" s="350">
        <f t="shared" si="4"/>
        <v>1.4867195147342977E-6</v>
      </c>
      <c r="Q37" s="350">
        <f t="shared" si="4"/>
        <v>1.0279773571668917E-18</v>
      </c>
      <c r="R37" s="350">
        <f t="shared" si="5"/>
        <v>7.4335975736766278E-7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38C7-761D-4A65-841E-DEE1655D575B}">
  <sheetPr codeName="Sheet47"/>
  <dimension ref="A1:E93"/>
  <sheetViews>
    <sheetView showGridLines="0" workbookViewId="0">
      <selection activeCell="P35" sqref="P35"/>
    </sheetView>
  </sheetViews>
  <sheetFormatPr defaultRowHeight="14.4"/>
  <cols>
    <col min="1" max="1" width="3.6640625" style="351" customWidth="1"/>
    <col min="2" max="6" width="8.88671875" style="351"/>
    <col min="7" max="8" width="12" style="351" bestFit="1" customWidth="1"/>
    <col min="9" max="256" width="8.88671875" style="351"/>
    <col min="257" max="257" width="3.6640625" style="351" customWidth="1"/>
    <col min="258" max="262" width="8.88671875" style="351"/>
    <col min="263" max="264" width="12" style="351" bestFit="1" customWidth="1"/>
    <col min="265" max="512" width="8.88671875" style="351"/>
    <col min="513" max="513" width="3.6640625" style="351" customWidth="1"/>
    <col min="514" max="518" width="8.88671875" style="351"/>
    <col min="519" max="520" width="12" style="351" bestFit="1" customWidth="1"/>
    <col min="521" max="768" width="8.88671875" style="351"/>
    <col min="769" max="769" width="3.6640625" style="351" customWidth="1"/>
    <col min="770" max="774" width="8.88671875" style="351"/>
    <col min="775" max="776" width="12" style="351" bestFit="1" customWidth="1"/>
    <col min="777" max="1024" width="8.88671875" style="351"/>
    <col min="1025" max="1025" width="3.6640625" style="351" customWidth="1"/>
    <col min="1026" max="1030" width="8.88671875" style="351"/>
    <col min="1031" max="1032" width="12" style="351" bestFit="1" customWidth="1"/>
    <col min="1033" max="1280" width="8.88671875" style="351"/>
    <col min="1281" max="1281" width="3.6640625" style="351" customWidth="1"/>
    <col min="1282" max="1286" width="8.88671875" style="351"/>
    <col min="1287" max="1288" width="12" style="351" bestFit="1" customWidth="1"/>
    <col min="1289" max="1536" width="8.88671875" style="351"/>
    <col min="1537" max="1537" width="3.6640625" style="351" customWidth="1"/>
    <col min="1538" max="1542" width="8.88671875" style="351"/>
    <col min="1543" max="1544" width="12" style="351" bestFit="1" customWidth="1"/>
    <col min="1545" max="1792" width="8.88671875" style="351"/>
    <col min="1793" max="1793" width="3.6640625" style="351" customWidth="1"/>
    <col min="1794" max="1798" width="8.88671875" style="351"/>
    <col min="1799" max="1800" width="12" style="351" bestFit="1" customWidth="1"/>
    <col min="1801" max="2048" width="8.88671875" style="351"/>
    <col min="2049" max="2049" width="3.6640625" style="351" customWidth="1"/>
    <col min="2050" max="2054" width="8.88671875" style="351"/>
    <col min="2055" max="2056" width="12" style="351" bestFit="1" customWidth="1"/>
    <col min="2057" max="2304" width="8.88671875" style="351"/>
    <col min="2305" max="2305" width="3.6640625" style="351" customWidth="1"/>
    <col min="2306" max="2310" width="8.88671875" style="351"/>
    <col min="2311" max="2312" width="12" style="351" bestFit="1" customWidth="1"/>
    <col min="2313" max="2560" width="8.88671875" style="351"/>
    <col min="2561" max="2561" width="3.6640625" style="351" customWidth="1"/>
    <col min="2562" max="2566" width="8.88671875" style="351"/>
    <col min="2567" max="2568" width="12" style="351" bestFit="1" customWidth="1"/>
    <col min="2569" max="2816" width="8.88671875" style="351"/>
    <col min="2817" max="2817" width="3.6640625" style="351" customWidth="1"/>
    <col min="2818" max="2822" width="8.88671875" style="351"/>
    <col min="2823" max="2824" width="12" style="351" bestFit="1" customWidth="1"/>
    <col min="2825" max="3072" width="8.88671875" style="351"/>
    <col min="3073" max="3073" width="3.6640625" style="351" customWidth="1"/>
    <col min="3074" max="3078" width="8.88671875" style="351"/>
    <col min="3079" max="3080" width="12" style="351" bestFit="1" customWidth="1"/>
    <col min="3081" max="3328" width="8.88671875" style="351"/>
    <col min="3329" max="3329" width="3.6640625" style="351" customWidth="1"/>
    <col min="3330" max="3334" width="8.88671875" style="351"/>
    <col min="3335" max="3336" width="12" style="351" bestFit="1" customWidth="1"/>
    <col min="3337" max="3584" width="8.88671875" style="351"/>
    <col min="3585" max="3585" width="3.6640625" style="351" customWidth="1"/>
    <col min="3586" max="3590" width="8.88671875" style="351"/>
    <col min="3591" max="3592" width="12" style="351" bestFit="1" customWidth="1"/>
    <col min="3593" max="3840" width="8.88671875" style="351"/>
    <col min="3841" max="3841" width="3.6640625" style="351" customWidth="1"/>
    <col min="3842" max="3846" width="8.88671875" style="351"/>
    <col min="3847" max="3848" width="12" style="351" bestFit="1" customWidth="1"/>
    <col min="3849" max="4096" width="8.88671875" style="351"/>
    <col min="4097" max="4097" width="3.6640625" style="351" customWidth="1"/>
    <col min="4098" max="4102" width="8.88671875" style="351"/>
    <col min="4103" max="4104" width="12" style="351" bestFit="1" customWidth="1"/>
    <col min="4105" max="4352" width="8.88671875" style="351"/>
    <col min="4353" max="4353" width="3.6640625" style="351" customWidth="1"/>
    <col min="4354" max="4358" width="8.88671875" style="351"/>
    <col min="4359" max="4360" width="12" style="351" bestFit="1" customWidth="1"/>
    <col min="4361" max="4608" width="8.88671875" style="351"/>
    <col min="4609" max="4609" width="3.6640625" style="351" customWidth="1"/>
    <col min="4610" max="4614" width="8.88671875" style="351"/>
    <col min="4615" max="4616" width="12" style="351" bestFit="1" customWidth="1"/>
    <col min="4617" max="4864" width="8.88671875" style="351"/>
    <col min="4865" max="4865" width="3.6640625" style="351" customWidth="1"/>
    <col min="4866" max="4870" width="8.88671875" style="351"/>
    <col min="4871" max="4872" width="12" style="351" bestFit="1" customWidth="1"/>
    <col min="4873" max="5120" width="8.88671875" style="351"/>
    <col min="5121" max="5121" width="3.6640625" style="351" customWidth="1"/>
    <col min="5122" max="5126" width="8.88671875" style="351"/>
    <col min="5127" max="5128" width="12" style="351" bestFit="1" customWidth="1"/>
    <col min="5129" max="5376" width="8.88671875" style="351"/>
    <col min="5377" max="5377" width="3.6640625" style="351" customWidth="1"/>
    <col min="5378" max="5382" width="8.88671875" style="351"/>
    <col min="5383" max="5384" width="12" style="351" bestFit="1" customWidth="1"/>
    <col min="5385" max="5632" width="8.88671875" style="351"/>
    <col min="5633" max="5633" width="3.6640625" style="351" customWidth="1"/>
    <col min="5634" max="5638" width="8.88671875" style="351"/>
    <col min="5639" max="5640" width="12" style="351" bestFit="1" customWidth="1"/>
    <col min="5641" max="5888" width="8.88671875" style="351"/>
    <col min="5889" max="5889" width="3.6640625" style="351" customWidth="1"/>
    <col min="5890" max="5894" width="8.88671875" style="351"/>
    <col min="5895" max="5896" width="12" style="351" bestFit="1" customWidth="1"/>
    <col min="5897" max="6144" width="8.88671875" style="351"/>
    <col min="6145" max="6145" width="3.6640625" style="351" customWidth="1"/>
    <col min="6146" max="6150" width="8.88671875" style="351"/>
    <col min="6151" max="6152" width="12" style="351" bestFit="1" customWidth="1"/>
    <col min="6153" max="6400" width="8.88671875" style="351"/>
    <col min="6401" max="6401" width="3.6640625" style="351" customWidth="1"/>
    <col min="6402" max="6406" width="8.88671875" style="351"/>
    <col min="6407" max="6408" width="12" style="351" bestFit="1" customWidth="1"/>
    <col min="6409" max="6656" width="8.88671875" style="351"/>
    <col min="6657" max="6657" width="3.6640625" style="351" customWidth="1"/>
    <col min="6658" max="6662" width="8.88671875" style="351"/>
    <col min="6663" max="6664" width="12" style="351" bestFit="1" customWidth="1"/>
    <col min="6665" max="6912" width="8.88671875" style="351"/>
    <col min="6913" max="6913" width="3.6640625" style="351" customWidth="1"/>
    <col min="6914" max="6918" width="8.88671875" style="351"/>
    <col min="6919" max="6920" width="12" style="351" bestFit="1" customWidth="1"/>
    <col min="6921" max="7168" width="8.88671875" style="351"/>
    <col min="7169" max="7169" width="3.6640625" style="351" customWidth="1"/>
    <col min="7170" max="7174" width="8.88671875" style="351"/>
    <col min="7175" max="7176" width="12" style="351" bestFit="1" customWidth="1"/>
    <col min="7177" max="7424" width="8.88671875" style="351"/>
    <col min="7425" max="7425" width="3.6640625" style="351" customWidth="1"/>
    <col min="7426" max="7430" width="8.88671875" style="351"/>
    <col min="7431" max="7432" width="12" style="351" bestFit="1" customWidth="1"/>
    <col min="7433" max="7680" width="8.88671875" style="351"/>
    <col min="7681" max="7681" width="3.6640625" style="351" customWidth="1"/>
    <col min="7682" max="7686" width="8.88671875" style="351"/>
    <col min="7687" max="7688" width="12" style="351" bestFit="1" customWidth="1"/>
    <col min="7689" max="7936" width="8.88671875" style="351"/>
    <col min="7937" max="7937" width="3.6640625" style="351" customWidth="1"/>
    <col min="7938" max="7942" width="8.88671875" style="351"/>
    <col min="7943" max="7944" width="12" style="351" bestFit="1" customWidth="1"/>
    <col min="7945" max="8192" width="8.88671875" style="351"/>
    <col min="8193" max="8193" width="3.6640625" style="351" customWidth="1"/>
    <col min="8194" max="8198" width="8.88671875" style="351"/>
    <col min="8199" max="8200" width="12" style="351" bestFit="1" customWidth="1"/>
    <col min="8201" max="8448" width="8.88671875" style="351"/>
    <col min="8449" max="8449" width="3.6640625" style="351" customWidth="1"/>
    <col min="8450" max="8454" width="8.88671875" style="351"/>
    <col min="8455" max="8456" width="12" style="351" bestFit="1" customWidth="1"/>
    <col min="8457" max="8704" width="8.88671875" style="351"/>
    <col min="8705" max="8705" width="3.6640625" style="351" customWidth="1"/>
    <col min="8706" max="8710" width="8.88671875" style="351"/>
    <col min="8711" max="8712" width="12" style="351" bestFit="1" customWidth="1"/>
    <col min="8713" max="8960" width="8.88671875" style="351"/>
    <col min="8961" max="8961" width="3.6640625" style="351" customWidth="1"/>
    <col min="8962" max="8966" width="8.88671875" style="351"/>
    <col min="8967" max="8968" width="12" style="351" bestFit="1" customWidth="1"/>
    <col min="8969" max="9216" width="8.88671875" style="351"/>
    <col min="9217" max="9217" width="3.6640625" style="351" customWidth="1"/>
    <col min="9218" max="9222" width="8.88671875" style="351"/>
    <col min="9223" max="9224" width="12" style="351" bestFit="1" customWidth="1"/>
    <col min="9225" max="9472" width="8.88671875" style="351"/>
    <col min="9473" max="9473" width="3.6640625" style="351" customWidth="1"/>
    <col min="9474" max="9478" width="8.88671875" style="351"/>
    <col min="9479" max="9480" width="12" style="351" bestFit="1" customWidth="1"/>
    <col min="9481" max="9728" width="8.88671875" style="351"/>
    <col min="9729" max="9729" width="3.6640625" style="351" customWidth="1"/>
    <col min="9730" max="9734" width="8.88671875" style="351"/>
    <col min="9735" max="9736" width="12" style="351" bestFit="1" customWidth="1"/>
    <col min="9737" max="9984" width="8.88671875" style="351"/>
    <col min="9985" max="9985" width="3.6640625" style="351" customWidth="1"/>
    <col min="9986" max="9990" width="8.88671875" style="351"/>
    <col min="9991" max="9992" width="12" style="351" bestFit="1" customWidth="1"/>
    <col min="9993" max="10240" width="8.88671875" style="351"/>
    <col min="10241" max="10241" width="3.6640625" style="351" customWidth="1"/>
    <col min="10242" max="10246" width="8.88671875" style="351"/>
    <col min="10247" max="10248" width="12" style="351" bestFit="1" customWidth="1"/>
    <col min="10249" max="10496" width="8.88671875" style="351"/>
    <col min="10497" max="10497" width="3.6640625" style="351" customWidth="1"/>
    <col min="10498" max="10502" width="8.88671875" style="351"/>
    <col min="10503" max="10504" width="12" style="351" bestFit="1" customWidth="1"/>
    <col min="10505" max="10752" width="8.88671875" style="351"/>
    <col min="10753" max="10753" width="3.6640625" style="351" customWidth="1"/>
    <col min="10754" max="10758" width="8.88671875" style="351"/>
    <col min="10759" max="10760" width="12" style="351" bestFit="1" customWidth="1"/>
    <col min="10761" max="11008" width="8.88671875" style="351"/>
    <col min="11009" max="11009" width="3.6640625" style="351" customWidth="1"/>
    <col min="11010" max="11014" width="8.88671875" style="351"/>
    <col min="11015" max="11016" width="12" style="351" bestFit="1" customWidth="1"/>
    <col min="11017" max="11264" width="8.88671875" style="351"/>
    <col min="11265" max="11265" width="3.6640625" style="351" customWidth="1"/>
    <col min="11266" max="11270" width="8.88671875" style="351"/>
    <col min="11271" max="11272" width="12" style="351" bestFit="1" customWidth="1"/>
    <col min="11273" max="11520" width="8.88671875" style="351"/>
    <col min="11521" max="11521" width="3.6640625" style="351" customWidth="1"/>
    <col min="11522" max="11526" width="8.88671875" style="351"/>
    <col min="11527" max="11528" width="12" style="351" bestFit="1" customWidth="1"/>
    <col min="11529" max="11776" width="8.88671875" style="351"/>
    <col min="11777" max="11777" width="3.6640625" style="351" customWidth="1"/>
    <col min="11778" max="11782" width="8.88671875" style="351"/>
    <col min="11783" max="11784" width="12" style="351" bestFit="1" customWidth="1"/>
    <col min="11785" max="12032" width="8.88671875" style="351"/>
    <col min="12033" max="12033" width="3.6640625" style="351" customWidth="1"/>
    <col min="12034" max="12038" width="8.88671875" style="351"/>
    <col min="12039" max="12040" width="12" style="351" bestFit="1" customWidth="1"/>
    <col min="12041" max="12288" width="8.88671875" style="351"/>
    <col min="12289" max="12289" width="3.6640625" style="351" customWidth="1"/>
    <col min="12290" max="12294" width="8.88671875" style="351"/>
    <col min="12295" max="12296" width="12" style="351" bestFit="1" customWidth="1"/>
    <col min="12297" max="12544" width="8.88671875" style="351"/>
    <col min="12545" max="12545" width="3.6640625" style="351" customWidth="1"/>
    <col min="12546" max="12550" width="8.88671875" style="351"/>
    <col min="12551" max="12552" width="12" style="351" bestFit="1" customWidth="1"/>
    <col min="12553" max="12800" width="8.88671875" style="351"/>
    <col min="12801" max="12801" width="3.6640625" style="351" customWidth="1"/>
    <col min="12802" max="12806" width="8.88671875" style="351"/>
    <col min="12807" max="12808" width="12" style="351" bestFit="1" customWidth="1"/>
    <col min="12809" max="13056" width="8.88671875" style="351"/>
    <col min="13057" max="13057" width="3.6640625" style="351" customWidth="1"/>
    <col min="13058" max="13062" width="8.88671875" style="351"/>
    <col min="13063" max="13064" width="12" style="351" bestFit="1" customWidth="1"/>
    <col min="13065" max="13312" width="8.88671875" style="351"/>
    <col min="13313" max="13313" width="3.6640625" style="351" customWidth="1"/>
    <col min="13314" max="13318" width="8.88671875" style="351"/>
    <col min="13319" max="13320" width="12" style="351" bestFit="1" customWidth="1"/>
    <col min="13321" max="13568" width="8.88671875" style="351"/>
    <col min="13569" max="13569" width="3.6640625" style="351" customWidth="1"/>
    <col min="13570" max="13574" width="8.88671875" style="351"/>
    <col min="13575" max="13576" width="12" style="351" bestFit="1" customWidth="1"/>
    <col min="13577" max="13824" width="8.88671875" style="351"/>
    <col min="13825" max="13825" width="3.6640625" style="351" customWidth="1"/>
    <col min="13826" max="13830" width="8.88671875" style="351"/>
    <col min="13831" max="13832" width="12" style="351" bestFit="1" customWidth="1"/>
    <col min="13833" max="14080" width="8.88671875" style="351"/>
    <col min="14081" max="14081" width="3.6640625" style="351" customWidth="1"/>
    <col min="14082" max="14086" width="8.88671875" style="351"/>
    <col min="14087" max="14088" width="12" style="351" bestFit="1" customWidth="1"/>
    <col min="14089" max="14336" width="8.88671875" style="351"/>
    <col min="14337" max="14337" width="3.6640625" style="351" customWidth="1"/>
    <col min="14338" max="14342" width="8.88671875" style="351"/>
    <col min="14343" max="14344" width="12" style="351" bestFit="1" customWidth="1"/>
    <col min="14345" max="14592" width="8.88671875" style="351"/>
    <col min="14593" max="14593" width="3.6640625" style="351" customWidth="1"/>
    <col min="14594" max="14598" width="8.88671875" style="351"/>
    <col min="14599" max="14600" width="12" style="351" bestFit="1" customWidth="1"/>
    <col min="14601" max="14848" width="8.88671875" style="351"/>
    <col min="14849" max="14849" width="3.6640625" style="351" customWidth="1"/>
    <col min="14850" max="14854" width="8.88671875" style="351"/>
    <col min="14855" max="14856" width="12" style="351" bestFit="1" customWidth="1"/>
    <col min="14857" max="15104" width="8.88671875" style="351"/>
    <col min="15105" max="15105" width="3.6640625" style="351" customWidth="1"/>
    <col min="15106" max="15110" width="8.88671875" style="351"/>
    <col min="15111" max="15112" width="12" style="351" bestFit="1" customWidth="1"/>
    <col min="15113" max="15360" width="8.88671875" style="351"/>
    <col min="15361" max="15361" width="3.6640625" style="351" customWidth="1"/>
    <col min="15362" max="15366" width="8.88671875" style="351"/>
    <col min="15367" max="15368" width="12" style="351" bestFit="1" customWidth="1"/>
    <col min="15369" max="15616" width="8.88671875" style="351"/>
    <col min="15617" max="15617" width="3.6640625" style="351" customWidth="1"/>
    <col min="15618" max="15622" width="8.88671875" style="351"/>
    <col min="15623" max="15624" width="12" style="351" bestFit="1" customWidth="1"/>
    <col min="15625" max="15872" width="8.88671875" style="351"/>
    <col min="15873" max="15873" width="3.6640625" style="351" customWidth="1"/>
    <col min="15874" max="15878" width="8.88671875" style="351"/>
    <col min="15879" max="15880" width="12" style="351" bestFit="1" customWidth="1"/>
    <col min="15881" max="16128" width="8.88671875" style="351"/>
    <col min="16129" max="16129" width="3.6640625" style="351" customWidth="1"/>
    <col min="16130" max="16134" width="8.88671875" style="351"/>
    <col min="16135" max="16136" width="12" style="351" bestFit="1" customWidth="1"/>
    <col min="16137" max="16384" width="8.88671875" style="351"/>
  </cols>
  <sheetData>
    <row r="1" spans="1:5" s="317" customFormat="1">
      <c r="A1" s="316" t="s">
        <v>337</v>
      </c>
    </row>
    <row r="2" spans="1:5" s="317" customFormat="1"/>
    <row r="3" spans="1:5" s="318" customFormat="1"/>
    <row r="4" spans="1:5">
      <c r="C4" s="352" t="s">
        <v>10</v>
      </c>
      <c r="D4" s="352" t="s">
        <v>338</v>
      </c>
      <c r="E4" s="352" t="s">
        <v>339</v>
      </c>
    </row>
    <row r="5" spans="1:5">
      <c r="B5" s="351" t="s">
        <v>340</v>
      </c>
      <c r="E5" s="351">
        <v>80</v>
      </c>
    </row>
    <row r="6" spans="1:5">
      <c r="B6" s="351" t="s">
        <v>341</v>
      </c>
      <c r="D6" s="351">
        <v>200</v>
      </c>
    </row>
    <row r="7" spans="1:5">
      <c r="B7" s="351" t="s">
        <v>247</v>
      </c>
      <c r="D7" s="353">
        <v>0.6</v>
      </c>
    </row>
    <row r="8" spans="1:5">
      <c r="B8" s="351" t="s">
        <v>14</v>
      </c>
      <c r="C8" s="351">
        <v>100</v>
      </c>
      <c r="D8" s="351">
        <f>D6*D7</f>
        <v>120</v>
      </c>
    </row>
    <row r="9" spans="1:5">
      <c r="B9" s="351" t="s">
        <v>13</v>
      </c>
      <c r="C9" s="351">
        <f>10^2</f>
        <v>100</v>
      </c>
      <c r="D9" s="351">
        <f>D6*D7*(1-D7)</f>
        <v>48</v>
      </c>
    </row>
    <row r="10" spans="1:5">
      <c r="B10" s="351" t="s">
        <v>12</v>
      </c>
      <c r="C10" s="351">
        <f>SQRT(C9)</f>
        <v>10</v>
      </c>
      <c r="D10" s="351">
        <f>SQRT(D9)</f>
        <v>6.9282032302755088</v>
      </c>
    </row>
    <row r="12" spans="1:5">
      <c r="B12" s="354" t="s">
        <v>11</v>
      </c>
      <c r="C12" s="352" t="s">
        <v>10</v>
      </c>
      <c r="D12" s="352" t="s">
        <v>338</v>
      </c>
      <c r="E12" s="352" t="s">
        <v>339</v>
      </c>
    </row>
    <row r="13" spans="1:5">
      <c r="B13" s="355">
        <f t="shared" ref="B13:B52" si="0">B14-1</f>
        <v>60</v>
      </c>
      <c r="C13" s="356">
        <f t="shared" ref="C13:C76" si="1">NORMDIST(B13,$C$8,$C$10,FALSE)</f>
        <v>1.3383022576488536E-5</v>
      </c>
      <c r="D13" s="356">
        <f t="shared" ref="D13:D76" si="2">BINOMDIST(B13,$D$6,$D$7,FALSE)</f>
        <v>6.6846336508924624E-18</v>
      </c>
      <c r="E13" s="356">
        <f t="shared" ref="E13:E76" si="3">POISSON(B13,$E$5,FALSE)</f>
        <v>3.324036759489057E-3</v>
      </c>
    </row>
    <row r="14" spans="1:5">
      <c r="B14" s="355">
        <f t="shared" si="0"/>
        <v>61</v>
      </c>
      <c r="C14" s="356">
        <f t="shared" si="1"/>
        <v>1.9865547139277272E-5</v>
      </c>
      <c r="D14" s="356">
        <f t="shared" si="2"/>
        <v>2.3012673224383695E-17</v>
      </c>
      <c r="E14" s="356">
        <f t="shared" si="3"/>
        <v>4.3593924714610457E-3</v>
      </c>
    </row>
    <row r="15" spans="1:5">
      <c r="B15" s="355">
        <f t="shared" si="0"/>
        <v>62</v>
      </c>
      <c r="C15" s="356">
        <f t="shared" si="1"/>
        <v>2.9194692579146026E-5</v>
      </c>
      <c r="D15" s="356">
        <f t="shared" si="2"/>
        <v>7.7389393020709775E-17</v>
      </c>
      <c r="E15" s="356">
        <f t="shared" si="3"/>
        <v>5.6250225438207058E-3</v>
      </c>
    </row>
    <row r="16" spans="1:5">
      <c r="B16" s="355">
        <f t="shared" si="0"/>
        <v>63</v>
      </c>
      <c r="C16" s="356">
        <f t="shared" si="1"/>
        <v>4.2478027055075142E-5</v>
      </c>
      <c r="D16" s="356">
        <f t="shared" si="2"/>
        <v>2.5427943421090802E-16</v>
      </c>
      <c r="E16" s="356">
        <f t="shared" si="3"/>
        <v>7.1428857699310814E-3</v>
      </c>
    </row>
    <row r="17" spans="2:5">
      <c r="B17" s="355">
        <f t="shared" si="0"/>
        <v>64</v>
      </c>
      <c r="C17" s="356">
        <f t="shared" si="1"/>
        <v>6.1190193011377187E-5</v>
      </c>
      <c r="D17" s="356">
        <f t="shared" si="2"/>
        <v>8.1647537078659101E-16</v>
      </c>
      <c r="E17" s="356">
        <f t="shared" si="3"/>
        <v>8.9286072124138399E-3</v>
      </c>
    </row>
    <row r="18" spans="2:5">
      <c r="B18" s="355">
        <f t="shared" si="0"/>
        <v>65</v>
      </c>
      <c r="C18" s="356">
        <f t="shared" si="1"/>
        <v>8.726826950457601E-5</v>
      </c>
      <c r="D18" s="356">
        <f t="shared" si="2"/>
        <v>2.5624765483147987E-15</v>
      </c>
      <c r="E18" s="356">
        <f t="shared" si="3"/>
        <v>1.0989055030663183E-2</v>
      </c>
    </row>
    <row r="19" spans="2:5">
      <c r="B19" s="355">
        <f t="shared" si="0"/>
        <v>66</v>
      </c>
      <c r="C19" s="356">
        <f t="shared" si="1"/>
        <v>1.2322191684730198E-4</v>
      </c>
      <c r="D19" s="356">
        <f t="shared" si="2"/>
        <v>7.8621439550567211E-15</v>
      </c>
      <c r="E19" s="356">
        <f t="shared" si="3"/>
        <v>1.3320066703834165E-2</v>
      </c>
    </row>
    <row r="20" spans="2:5">
      <c r="B20" s="355">
        <f t="shared" si="0"/>
        <v>67</v>
      </c>
      <c r="C20" s="356">
        <f t="shared" si="1"/>
        <v>1.722568939053681E-4</v>
      </c>
      <c r="D20" s="356">
        <f t="shared" si="2"/>
        <v>2.3586431865170361E-14</v>
      </c>
      <c r="E20" s="356">
        <f t="shared" si="3"/>
        <v>1.5904557258309478E-2</v>
      </c>
    </row>
    <row r="21" spans="2:5">
      <c r="B21" s="355">
        <f t="shared" si="0"/>
        <v>68</v>
      </c>
      <c r="C21" s="356">
        <f t="shared" si="1"/>
        <v>2.3840882014648405E-4</v>
      </c>
      <c r="D21" s="356">
        <f t="shared" si="2"/>
        <v>6.9198428780905076E-14</v>
      </c>
      <c r="E21" s="356">
        <f t="shared" si="3"/>
        <v>1.8711243833305236E-2</v>
      </c>
    </row>
    <row r="22" spans="2:5">
      <c r="B22" s="355">
        <f t="shared" si="0"/>
        <v>69</v>
      </c>
      <c r="C22" s="356">
        <f t="shared" si="1"/>
        <v>3.2668190561999186E-4</v>
      </c>
      <c r="D22" s="356">
        <f t="shared" si="2"/>
        <v>1.9856940432781483E-13</v>
      </c>
      <c r="E22" s="356">
        <f t="shared" si="3"/>
        <v>2.1694195748759724E-2</v>
      </c>
    </row>
    <row r="23" spans="2:5">
      <c r="B23" s="355">
        <f t="shared" si="0"/>
        <v>70</v>
      </c>
      <c r="C23" s="356">
        <f t="shared" si="1"/>
        <v>4.4318484119380076E-4</v>
      </c>
      <c r="D23" s="356">
        <f t="shared" si="2"/>
        <v>5.5741268500592452E-13</v>
      </c>
      <c r="E23" s="356">
        <f t="shared" si="3"/>
        <v>2.4793366570011102E-2</v>
      </c>
    </row>
    <row r="24" spans="2:5">
      <c r="B24" s="355">
        <f t="shared" si="0"/>
        <v>71</v>
      </c>
      <c r="C24" s="356">
        <f t="shared" si="1"/>
        <v>5.9525324197758534E-4</v>
      </c>
      <c r="D24" s="356">
        <f t="shared" si="2"/>
        <v>1.5309221630444526E-12</v>
      </c>
      <c r="E24" s="356">
        <f t="shared" si="3"/>
        <v>2.7936187684519543E-2</v>
      </c>
    </row>
    <row r="25" spans="2:5">
      <c r="B25" s="355">
        <f t="shared" si="0"/>
        <v>72</v>
      </c>
      <c r="C25" s="356">
        <f t="shared" si="1"/>
        <v>7.9154515829799694E-4</v>
      </c>
      <c r="D25" s="356">
        <f t="shared" si="2"/>
        <v>4.1143533131819559E-12</v>
      </c>
      <c r="E25" s="356">
        <f t="shared" si="3"/>
        <v>3.1040208538355055E-2</v>
      </c>
    </row>
    <row r="26" spans="2:5">
      <c r="B26" s="355">
        <f t="shared" si="0"/>
        <v>73</v>
      </c>
      <c r="C26" s="356">
        <f t="shared" si="1"/>
        <v>1.0420934814422591E-3</v>
      </c>
      <c r="D26" s="356">
        <f t="shared" si="2"/>
        <v>1.0821312823711754E-11</v>
      </c>
      <c r="E26" s="356">
        <f t="shared" si="3"/>
        <v>3.4016666891347989E-2</v>
      </c>
    </row>
    <row r="27" spans="2:5">
      <c r="B27" s="355">
        <f t="shared" si="0"/>
        <v>74</v>
      </c>
      <c r="C27" s="356">
        <f t="shared" si="1"/>
        <v>1.3582969233685612E-3</v>
      </c>
      <c r="D27" s="356">
        <f t="shared" si="2"/>
        <v>2.7857568823203282E-11</v>
      </c>
      <c r="E27" s="356">
        <f t="shared" si="3"/>
        <v>3.6774775017673539E-2</v>
      </c>
    </row>
    <row r="28" spans="2:5">
      <c r="B28" s="355">
        <f t="shared" si="0"/>
        <v>75</v>
      </c>
      <c r="C28" s="356">
        <f t="shared" si="1"/>
        <v>1.752830049356854E-3</v>
      </c>
      <c r="D28" s="356">
        <f t="shared" si="2"/>
        <v>7.0201073434472784E-11</v>
      </c>
      <c r="E28" s="356">
        <f t="shared" si="3"/>
        <v>3.922642668551838E-2</v>
      </c>
    </row>
    <row r="29" spans="2:5">
      <c r="B29" s="355">
        <f t="shared" si="0"/>
        <v>76</v>
      </c>
      <c r="C29" s="356">
        <f t="shared" si="1"/>
        <v>2.2394530294842902E-3</v>
      </c>
      <c r="D29" s="356">
        <f t="shared" si="2"/>
        <v>1.731934377495202E-10</v>
      </c>
      <c r="E29" s="356">
        <f t="shared" si="3"/>
        <v>4.1290975458440411E-2</v>
      </c>
    </row>
    <row r="30" spans="2:5">
      <c r="B30" s="355">
        <f t="shared" si="0"/>
        <v>77</v>
      </c>
      <c r="C30" s="356">
        <f t="shared" si="1"/>
        <v>2.8327037741601186E-3</v>
      </c>
      <c r="D30" s="356">
        <f t="shared" si="2"/>
        <v>4.1836336910922663E-10</v>
      </c>
      <c r="E30" s="356">
        <f t="shared" si="3"/>
        <v>4.2899714762016032E-2</v>
      </c>
    </row>
    <row r="31" spans="2:5">
      <c r="B31" s="355">
        <f t="shared" si="0"/>
        <v>78</v>
      </c>
      <c r="C31" s="356">
        <f t="shared" si="1"/>
        <v>3.5474592846231421E-3</v>
      </c>
      <c r="D31" s="356">
        <f t="shared" si="2"/>
        <v>9.8959027693145678E-10</v>
      </c>
      <c r="E31" s="356">
        <f t="shared" si="3"/>
        <v>4.3999707448221577E-2</v>
      </c>
    </row>
    <row r="32" spans="2:5">
      <c r="B32" s="355">
        <f t="shared" si="0"/>
        <v>79</v>
      </c>
      <c r="C32" s="356">
        <f t="shared" si="1"/>
        <v>4.3983595980427196E-3</v>
      </c>
      <c r="D32" s="356">
        <f t="shared" si="2"/>
        <v>2.2923420339045097E-9</v>
      </c>
      <c r="E32" s="356">
        <f t="shared" si="3"/>
        <v>4.4556665770350959E-2</v>
      </c>
    </row>
    <row r="33" spans="2:5">
      <c r="B33" s="355">
        <f t="shared" si="0"/>
        <v>80</v>
      </c>
      <c r="C33" s="356">
        <f t="shared" si="1"/>
        <v>5.3990966513188061E-3</v>
      </c>
      <c r="D33" s="356">
        <f t="shared" si="2"/>
        <v>5.20075098942088E-9</v>
      </c>
      <c r="E33" s="356">
        <f t="shared" si="3"/>
        <v>4.4556665770350945E-2</v>
      </c>
    </row>
    <row r="34" spans="2:5">
      <c r="B34" s="355">
        <f t="shared" si="0"/>
        <v>81</v>
      </c>
      <c r="C34" s="356">
        <f t="shared" si="1"/>
        <v>6.5615814774676604E-3</v>
      </c>
      <c r="D34" s="356">
        <f t="shared" si="2"/>
        <v>1.1557224420935186E-8</v>
      </c>
      <c r="E34" s="356">
        <f t="shared" si="3"/>
        <v>4.4006583476889835E-2</v>
      </c>
    </row>
    <row r="35" spans="2:5">
      <c r="B35" s="355">
        <f t="shared" si="0"/>
        <v>82</v>
      </c>
      <c r="C35" s="356">
        <f t="shared" si="1"/>
        <v>7.8950158300894139E-3</v>
      </c>
      <c r="D35" s="356">
        <f t="shared" si="2"/>
        <v>2.5158104379718765E-8</v>
      </c>
      <c r="E35" s="356">
        <f t="shared" si="3"/>
        <v>4.2933252172575466E-2</v>
      </c>
    </row>
    <row r="36" spans="2:5">
      <c r="B36" s="355">
        <f t="shared" si="0"/>
        <v>83</v>
      </c>
      <c r="C36" s="356">
        <f t="shared" si="1"/>
        <v>9.4049077376886937E-3</v>
      </c>
      <c r="D36" s="356">
        <f t="shared" si="2"/>
        <v>5.3650415363978207E-8</v>
      </c>
      <c r="E36" s="356">
        <f t="shared" si="3"/>
        <v>4.1381447877181142E-2</v>
      </c>
    </row>
    <row r="37" spans="2:5">
      <c r="B37" s="355">
        <f t="shared" si="0"/>
        <v>84</v>
      </c>
      <c r="C37" s="356">
        <f t="shared" si="1"/>
        <v>1.1092083467945555E-2</v>
      </c>
      <c r="D37" s="356">
        <f t="shared" si="2"/>
        <v>1.1209104638545488E-7</v>
      </c>
      <c r="E37" s="356">
        <f t="shared" si="3"/>
        <v>3.9410902740172497E-2</v>
      </c>
    </row>
    <row r="38" spans="2:5">
      <c r="B38" s="355">
        <f t="shared" si="0"/>
        <v>85</v>
      </c>
      <c r="C38" s="356">
        <f t="shared" si="1"/>
        <v>1.2951759566589173E-2</v>
      </c>
      <c r="D38" s="356">
        <f t="shared" si="2"/>
        <v>2.2945696554199036E-7</v>
      </c>
      <c r="E38" s="356">
        <f t="shared" si="3"/>
        <v>3.7092614343691765E-2</v>
      </c>
    </row>
    <row r="39" spans="2:5">
      <c r="B39" s="355">
        <f t="shared" si="0"/>
        <v>86</v>
      </c>
      <c r="C39" s="356">
        <f t="shared" si="1"/>
        <v>1.4972746563574486E-2</v>
      </c>
      <c r="D39" s="356">
        <f t="shared" si="2"/>
        <v>4.6024798320922471E-7</v>
      </c>
      <c r="E39" s="356">
        <f t="shared" si="3"/>
        <v>3.4504757529015613E-2</v>
      </c>
    </row>
    <row r="40" spans="2:5">
      <c r="B40" s="355">
        <f t="shared" si="0"/>
        <v>87</v>
      </c>
      <c r="C40" s="356">
        <f t="shared" si="1"/>
        <v>1.7136859204780735E-2</v>
      </c>
      <c r="D40" s="356">
        <f t="shared" si="2"/>
        <v>9.0462534630779454E-7</v>
      </c>
      <c r="E40" s="356">
        <f t="shared" si="3"/>
        <v>3.1728512670359192E-2</v>
      </c>
    </row>
    <row r="41" spans="2:5">
      <c r="B41" s="355">
        <f t="shared" si="0"/>
        <v>88</v>
      </c>
      <c r="C41" s="356">
        <f t="shared" si="1"/>
        <v>1.9418605498321296E-2</v>
      </c>
      <c r="D41" s="356">
        <f t="shared" si="2"/>
        <v>1.7424317749905655E-6</v>
      </c>
      <c r="E41" s="356">
        <f t="shared" si="3"/>
        <v>2.8844102427599251E-2</v>
      </c>
    </row>
    <row r="42" spans="2:5">
      <c r="B42" s="355">
        <f t="shared" si="0"/>
        <v>89</v>
      </c>
      <c r="C42" s="356">
        <f t="shared" si="1"/>
        <v>2.1785217703255054E-2</v>
      </c>
      <c r="D42" s="356">
        <f t="shared" si="2"/>
        <v>3.2890846988585871E-6</v>
      </c>
      <c r="E42" s="356">
        <f t="shared" si="3"/>
        <v>2.5927283080988097E-2</v>
      </c>
    </row>
    <row r="43" spans="2:5">
      <c r="B43" s="355">
        <f t="shared" si="0"/>
        <v>90</v>
      </c>
      <c r="C43" s="356">
        <f t="shared" si="1"/>
        <v>2.4197072451914336E-2</v>
      </c>
      <c r="D43" s="356">
        <f t="shared" si="2"/>
        <v>6.0848066928884028E-6</v>
      </c>
      <c r="E43" s="356">
        <f t="shared" si="3"/>
        <v>2.3046473849767178E-2</v>
      </c>
    </row>
    <row r="44" spans="2:5">
      <c r="B44" s="355">
        <f t="shared" si="0"/>
        <v>91</v>
      </c>
      <c r="C44" s="356">
        <f t="shared" si="1"/>
        <v>2.6608524989875482E-2</v>
      </c>
      <c r="D44" s="356">
        <f t="shared" si="2"/>
        <v>1.1032891256336049E-5</v>
      </c>
      <c r="E44" s="356">
        <f t="shared" si="3"/>
        <v>2.0260636351443675E-2</v>
      </c>
    </row>
    <row r="45" spans="2:5">
      <c r="B45" s="355">
        <f t="shared" si="0"/>
        <v>92</v>
      </c>
      <c r="C45" s="356">
        <f t="shared" si="1"/>
        <v>2.8969155276148274E-2</v>
      </c>
      <c r="D45" s="356">
        <f t="shared" si="2"/>
        <v>1.9607366526206051E-5</v>
      </c>
      <c r="E45" s="356">
        <f t="shared" si="3"/>
        <v>1.7617944653429311E-2</v>
      </c>
    </row>
    <row r="46" spans="2:5">
      <c r="B46" s="355">
        <f t="shared" si="0"/>
        <v>93</v>
      </c>
      <c r="C46" s="356">
        <f t="shared" si="1"/>
        <v>3.1225393336676129E-2</v>
      </c>
      <c r="D46" s="356">
        <f t="shared" si="2"/>
        <v>3.4154767497262052E-5</v>
      </c>
      <c r="E46" s="356">
        <f t="shared" si="3"/>
        <v>1.5155221207251018E-2</v>
      </c>
    </row>
    <row r="47" spans="2:5">
      <c r="B47" s="355">
        <f t="shared" si="0"/>
        <v>94</v>
      </c>
      <c r="C47" s="356">
        <f t="shared" si="1"/>
        <v>3.3322460289179963E-2</v>
      </c>
      <c r="D47" s="356">
        <f t="shared" si="2"/>
        <v>5.8317448758623297E-5</v>
      </c>
      <c r="E47" s="356">
        <f t="shared" si="3"/>
        <v>1.2898060601915748E-2</v>
      </c>
    </row>
    <row r="48" spans="2:5">
      <c r="B48" s="355">
        <f t="shared" si="0"/>
        <v>95</v>
      </c>
      <c r="C48" s="356">
        <f t="shared" si="1"/>
        <v>3.5206532676429952E-2</v>
      </c>
      <c r="D48" s="356">
        <f t="shared" si="2"/>
        <v>9.7604993185484792E-5</v>
      </c>
      <c r="E48" s="356">
        <f t="shared" si="3"/>
        <v>1.0861524717402734E-2</v>
      </c>
    </row>
    <row r="49" spans="2:5">
      <c r="B49" s="355">
        <f t="shared" si="0"/>
        <v>96</v>
      </c>
      <c r="C49" s="356">
        <f t="shared" si="1"/>
        <v>3.6827014030332332E-2</v>
      </c>
      <c r="D49" s="356">
        <f t="shared" si="2"/>
        <v>1.6013319194493601E-4</v>
      </c>
      <c r="E49" s="356">
        <f t="shared" si="3"/>
        <v>9.0512705978356249E-3</v>
      </c>
    </row>
    <row r="50" spans="2:5">
      <c r="B50" s="355">
        <f t="shared" si="0"/>
        <v>97</v>
      </c>
      <c r="C50" s="356">
        <f t="shared" si="1"/>
        <v>3.8138781546052408E-2</v>
      </c>
      <c r="D50" s="356">
        <f t="shared" si="2"/>
        <v>2.575337932310311E-4</v>
      </c>
      <c r="E50" s="356">
        <f t="shared" si="3"/>
        <v>7.4649654415139067E-3</v>
      </c>
    </row>
    <row r="51" spans="2:5">
      <c r="B51" s="355">
        <f t="shared" si="0"/>
        <v>98</v>
      </c>
      <c r="C51" s="356">
        <f t="shared" si="1"/>
        <v>3.9104269397545591E-2</v>
      </c>
      <c r="D51" s="356">
        <f t="shared" si="2"/>
        <v>4.0600990871627007E-4</v>
      </c>
      <c r="E51" s="356">
        <f t="shared" si="3"/>
        <v>6.0938493400113543E-3</v>
      </c>
    </row>
    <row r="52" spans="2:5">
      <c r="B52" s="355">
        <f t="shared" si="0"/>
        <v>99</v>
      </c>
      <c r="C52" s="356">
        <f t="shared" si="1"/>
        <v>3.9695254747701178E-2</v>
      </c>
      <c r="D52" s="356">
        <f t="shared" si="2"/>
        <v>6.2746985892513985E-4</v>
      </c>
      <c r="E52" s="356">
        <f t="shared" si="3"/>
        <v>4.9243226989990601E-3</v>
      </c>
    </row>
    <row r="53" spans="2:5">
      <c r="B53" s="355">
        <v>100</v>
      </c>
      <c r="C53" s="356">
        <f t="shared" si="1"/>
        <v>3.9894228040143274E-2</v>
      </c>
      <c r="D53" s="356">
        <f t="shared" si="2"/>
        <v>9.5061683627158859E-4</v>
      </c>
      <c r="E53" s="356">
        <f t="shared" si="3"/>
        <v>3.9394581591992604E-3</v>
      </c>
    </row>
    <row r="54" spans="2:5">
      <c r="B54" s="355">
        <f t="shared" ref="B54:B93" si="4">B53+1</f>
        <v>101</v>
      </c>
      <c r="C54" s="356">
        <f t="shared" si="1"/>
        <v>3.9695254747701178E-2</v>
      </c>
      <c r="D54" s="356">
        <f t="shared" si="2"/>
        <v>1.4118071825815711E-3</v>
      </c>
      <c r="E54" s="356">
        <f t="shared" si="3"/>
        <v>3.1203628983756467E-3</v>
      </c>
    </row>
    <row r="55" spans="2:5">
      <c r="B55" s="355">
        <f t="shared" si="4"/>
        <v>102</v>
      </c>
      <c r="C55" s="356">
        <f t="shared" si="1"/>
        <v>3.9104269397545591E-2</v>
      </c>
      <c r="D55" s="356">
        <f t="shared" si="2"/>
        <v>2.0554251628761137E-3</v>
      </c>
      <c r="E55" s="356">
        <f t="shared" si="3"/>
        <v>2.4473434497063909E-3</v>
      </c>
    </row>
    <row r="56" spans="2:5">
      <c r="B56" s="355">
        <f t="shared" si="4"/>
        <v>103</v>
      </c>
      <c r="C56" s="356">
        <f t="shared" si="1"/>
        <v>3.8138781546052408E-2</v>
      </c>
      <c r="D56" s="356">
        <f t="shared" si="2"/>
        <v>2.9334708635222178E-3</v>
      </c>
      <c r="E56" s="356">
        <f t="shared" si="3"/>
        <v>1.9008492813253493E-3</v>
      </c>
    </row>
    <row r="57" spans="2:5">
      <c r="B57" s="355">
        <f t="shared" si="4"/>
        <v>104</v>
      </c>
      <c r="C57" s="356">
        <f t="shared" si="1"/>
        <v>3.6827014030332332E-2</v>
      </c>
      <c r="D57" s="356">
        <f t="shared" si="2"/>
        <v>4.1040385638700348E-3</v>
      </c>
      <c r="E57" s="356">
        <f t="shared" si="3"/>
        <v>1.4621917548656533E-3</v>
      </c>
    </row>
    <row r="58" spans="2:5">
      <c r="B58" s="355">
        <f t="shared" si="4"/>
        <v>105</v>
      </c>
      <c r="C58" s="356">
        <f t="shared" si="1"/>
        <v>3.5206532676429952E-2</v>
      </c>
      <c r="D58" s="356">
        <f t="shared" si="2"/>
        <v>5.6283957447360311E-3</v>
      </c>
      <c r="E58" s="356">
        <f t="shared" si="3"/>
        <v>1.1140508608500248E-3</v>
      </c>
    </row>
    <row r="59" spans="2:5">
      <c r="B59" s="355">
        <f t="shared" si="4"/>
        <v>106</v>
      </c>
      <c r="C59" s="356">
        <f t="shared" si="1"/>
        <v>3.3322460289179963E-2</v>
      </c>
      <c r="D59" s="356">
        <f t="shared" si="2"/>
        <v>7.5664754115555262E-3</v>
      </c>
      <c r="E59" s="356">
        <f t="shared" si="3"/>
        <v>8.4079310252832269E-4</v>
      </c>
    </row>
    <row r="60" spans="2:5">
      <c r="B60" s="355">
        <f t="shared" si="4"/>
        <v>107</v>
      </c>
      <c r="C60" s="356">
        <f t="shared" si="1"/>
        <v>3.1225393336676129E-2</v>
      </c>
      <c r="D60" s="356">
        <f t="shared" si="2"/>
        <v>9.9707760096198958E-3</v>
      </c>
      <c r="E60" s="356">
        <f t="shared" si="3"/>
        <v>6.2863035703051965E-4</v>
      </c>
    </row>
    <row r="61" spans="2:5">
      <c r="B61" s="355">
        <f t="shared" si="4"/>
        <v>108</v>
      </c>
      <c r="C61" s="356">
        <f t="shared" si="1"/>
        <v>2.8969155276148274E-2</v>
      </c>
      <c r="D61" s="356">
        <f t="shared" si="2"/>
        <v>1.2878919012425683E-2</v>
      </c>
      <c r="E61" s="356">
        <f t="shared" si="3"/>
        <v>4.6565211631890399E-4</v>
      </c>
    </row>
    <row r="62" spans="2:5">
      <c r="B62" s="355">
        <f t="shared" si="4"/>
        <v>109</v>
      </c>
      <c r="C62" s="356">
        <f t="shared" si="1"/>
        <v>2.6608524989875482E-2</v>
      </c>
      <c r="D62" s="356">
        <f t="shared" si="2"/>
        <v>1.6305420401052692E-2</v>
      </c>
      <c r="E62" s="356">
        <f t="shared" si="3"/>
        <v>3.4176302115148841E-4</v>
      </c>
    </row>
    <row r="63" spans="2:5">
      <c r="B63" s="355">
        <f t="shared" si="4"/>
        <v>110</v>
      </c>
      <c r="C63" s="356">
        <f t="shared" si="1"/>
        <v>2.4197072451914336E-2</v>
      </c>
      <c r="D63" s="356">
        <f t="shared" si="2"/>
        <v>2.023354440676086E-2</v>
      </c>
      <c r="E63" s="356">
        <f t="shared" si="3"/>
        <v>2.4855492447381039E-4</v>
      </c>
    </row>
    <row r="64" spans="2:5">
      <c r="B64" s="355">
        <f t="shared" si="4"/>
        <v>111</v>
      </c>
      <c r="C64" s="356">
        <f t="shared" si="1"/>
        <v>2.1785217703255054E-2</v>
      </c>
      <c r="D64" s="356">
        <f t="shared" si="2"/>
        <v>2.4608364819033463E-2</v>
      </c>
      <c r="E64" s="356">
        <f t="shared" si="3"/>
        <v>1.7913868430544805E-4</v>
      </c>
    </row>
    <row r="65" spans="2:5">
      <c r="B65" s="355">
        <f t="shared" si="4"/>
        <v>112</v>
      </c>
      <c r="C65" s="356">
        <f t="shared" si="1"/>
        <v>1.9418605498321296E-2</v>
      </c>
      <c r="D65" s="356">
        <f t="shared" si="2"/>
        <v>2.9332291994115803E-2</v>
      </c>
      <c r="E65" s="356">
        <f t="shared" si="3"/>
        <v>1.2795620307532062E-4</v>
      </c>
    </row>
    <row r="66" spans="2:5">
      <c r="B66" s="355">
        <f t="shared" si="4"/>
        <v>113</v>
      </c>
      <c r="C66" s="356">
        <f t="shared" si="1"/>
        <v>1.7136859204780735E-2</v>
      </c>
      <c r="D66" s="356">
        <f t="shared" si="2"/>
        <v>3.4264270294011384E-2</v>
      </c>
      <c r="E66" s="356">
        <f t="shared" si="3"/>
        <v>9.0588462354209857E-5</v>
      </c>
    </row>
    <row r="67" spans="2:5">
      <c r="B67" s="355">
        <f t="shared" si="4"/>
        <v>114</v>
      </c>
      <c r="C67" s="356">
        <f t="shared" si="1"/>
        <v>1.4972746563574486E-2</v>
      </c>
      <c r="D67" s="356">
        <f t="shared" si="2"/>
        <v>3.9223572573407757E-2</v>
      </c>
      <c r="E67" s="356">
        <f t="shared" si="3"/>
        <v>6.3570850774883692E-5</v>
      </c>
    </row>
    <row r="68" spans="2:5">
      <c r="B68" s="355">
        <f t="shared" si="4"/>
        <v>115</v>
      </c>
      <c r="C68" s="356">
        <f t="shared" si="1"/>
        <v>1.2951759566589173E-2</v>
      </c>
      <c r="D68" s="356">
        <f t="shared" si="2"/>
        <v>4.3998616191040014E-2</v>
      </c>
      <c r="E68" s="356">
        <f t="shared" si="3"/>
        <v>4.4223200539049579E-5</v>
      </c>
    </row>
    <row r="69" spans="2:5">
      <c r="B69" s="355">
        <f t="shared" si="4"/>
        <v>116</v>
      </c>
      <c r="C69" s="356">
        <f t="shared" si="1"/>
        <v>1.1092083467945555E-2</v>
      </c>
      <c r="D69" s="356">
        <f t="shared" si="2"/>
        <v>4.8360547968599968E-2</v>
      </c>
      <c r="E69" s="356">
        <f t="shared" si="3"/>
        <v>3.0498758992447866E-5</v>
      </c>
    </row>
    <row r="70" spans="2:5">
      <c r="B70" s="355">
        <f t="shared" si="4"/>
        <v>117</v>
      </c>
      <c r="C70" s="356">
        <f t="shared" si="1"/>
        <v>9.4049077376886937E-3</v>
      </c>
      <c r="D70" s="356">
        <f t="shared" si="2"/>
        <v>5.208059012003078E-2</v>
      </c>
      <c r="E70" s="356">
        <f t="shared" si="3"/>
        <v>2.085385230252838E-5</v>
      </c>
    </row>
    <row r="71" spans="2:5">
      <c r="B71" s="355">
        <f t="shared" si="4"/>
        <v>118</v>
      </c>
      <c r="C71" s="356">
        <f t="shared" si="1"/>
        <v>7.8950158300894139E-3</v>
      </c>
      <c r="D71" s="356">
        <f t="shared" si="2"/>
        <v>5.4949436185964678E-2</v>
      </c>
      <c r="E71" s="356">
        <f t="shared" si="3"/>
        <v>1.4138204950866785E-5</v>
      </c>
    </row>
    <row r="72" spans="2:5">
      <c r="B72" s="355">
        <f t="shared" si="4"/>
        <v>119</v>
      </c>
      <c r="C72" s="356">
        <f t="shared" si="1"/>
        <v>6.5615814774676604E-3</v>
      </c>
      <c r="D72" s="356">
        <f t="shared" si="2"/>
        <v>5.6796476057761801E-2</v>
      </c>
      <c r="E72" s="356">
        <f t="shared" si="3"/>
        <v>9.5046755972213612E-6</v>
      </c>
    </row>
    <row r="73" spans="2:5">
      <c r="B73" s="355">
        <f t="shared" si="4"/>
        <v>120</v>
      </c>
      <c r="C73" s="356">
        <f t="shared" si="1"/>
        <v>5.3990966513188061E-3</v>
      </c>
      <c r="D73" s="356">
        <f t="shared" si="2"/>
        <v>5.7506432008483849E-2</v>
      </c>
      <c r="E73" s="356">
        <f t="shared" si="3"/>
        <v>6.3364503981475837E-6</v>
      </c>
    </row>
    <row r="74" spans="2:5">
      <c r="B74" s="355">
        <f t="shared" si="4"/>
        <v>121</v>
      </c>
      <c r="C74" s="356">
        <f t="shared" si="1"/>
        <v>4.3983595980427196E-3</v>
      </c>
      <c r="D74" s="356">
        <f t="shared" si="2"/>
        <v>5.7031172239818677E-2</v>
      </c>
      <c r="E74" s="356">
        <f t="shared" si="3"/>
        <v>4.1893886929901291E-6</v>
      </c>
    </row>
    <row r="75" spans="2:5">
      <c r="B75" s="355">
        <f t="shared" si="4"/>
        <v>122</v>
      </c>
      <c r="C75" s="356">
        <f t="shared" si="1"/>
        <v>3.5474592846231421E-3</v>
      </c>
      <c r="D75" s="356">
        <f t="shared" si="2"/>
        <v>5.539503205261076E-2</v>
      </c>
      <c r="E75" s="356">
        <f t="shared" si="3"/>
        <v>2.7471401265509356E-6</v>
      </c>
    </row>
    <row r="76" spans="2:5">
      <c r="B76" s="355">
        <f t="shared" si="4"/>
        <v>123</v>
      </c>
      <c r="C76" s="356">
        <f t="shared" si="1"/>
        <v>2.8327037741601186E-3</v>
      </c>
      <c r="D76" s="356">
        <f t="shared" si="2"/>
        <v>5.2692835367117559E-2</v>
      </c>
      <c r="E76" s="356">
        <f t="shared" si="3"/>
        <v>1.7867578058867585E-6</v>
      </c>
    </row>
    <row r="77" spans="2:5">
      <c r="B77" s="355">
        <f t="shared" si="4"/>
        <v>124</v>
      </c>
      <c r="C77" s="356">
        <f t="shared" ref="C77:C93" si="5">NORMDIST(B77,$C$8,$C$10,FALSE)</f>
        <v>2.2394530294842902E-3</v>
      </c>
      <c r="D77" s="356">
        <f t="shared" ref="D77:D93" si="6">BINOMDIST(B77,$D$6,$D$7,FALSE)</f>
        <v>4.9080826491145743E-2</v>
      </c>
      <c r="E77" s="356">
        <f t="shared" ref="E77:E93" si="7">POISSON(B77,$E$5,FALSE)</f>
        <v>1.1527469715398408E-6</v>
      </c>
    </row>
    <row r="78" spans="2:5">
      <c r="B78" s="355">
        <f t="shared" si="4"/>
        <v>125</v>
      </c>
      <c r="C78" s="356">
        <f t="shared" si="5"/>
        <v>1.752830049356854E-3</v>
      </c>
      <c r="D78" s="356">
        <f t="shared" si="6"/>
        <v>4.4761713759924951E-2</v>
      </c>
      <c r="E78" s="356">
        <f t="shared" si="7"/>
        <v>7.3775806178550423E-7</v>
      </c>
    </row>
    <row r="79" spans="2:5">
      <c r="B79" s="355">
        <f t="shared" si="4"/>
        <v>126</v>
      </c>
      <c r="C79" s="356">
        <f t="shared" si="5"/>
        <v>1.3582969233685612E-3</v>
      </c>
      <c r="D79" s="356">
        <f t="shared" si="6"/>
        <v>3.9965815857075884E-2</v>
      </c>
      <c r="E79" s="356">
        <f t="shared" si="7"/>
        <v>4.6841781700666899E-7</v>
      </c>
    </row>
    <row r="80" spans="2:5">
      <c r="B80" s="355">
        <f t="shared" si="4"/>
        <v>127</v>
      </c>
      <c r="C80" s="356">
        <f t="shared" si="5"/>
        <v>1.0420934814422591E-3</v>
      </c>
      <c r="D80" s="356">
        <f t="shared" si="6"/>
        <v>3.4930752442011166E-2</v>
      </c>
      <c r="E80" s="356">
        <f t="shared" si="7"/>
        <v>2.9506634142152671E-7</v>
      </c>
    </row>
    <row r="81" spans="2:5">
      <c r="B81" s="355">
        <f t="shared" si="4"/>
        <v>128</v>
      </c>
      <c r="C81" s="356">
        <f t="shared" si="5"/>
        <v>7.9154515829799694E-4</v>
      </c>
      <c r="D81" s="356">
        <f t="shared" si="6"/>
        <v>2.9882167128126792E-2</v>
      </c>
      <c r="E81" s="356">
        <f t="shared" si="7"/>
        <v>1.8441646338845081E-7</v>
      </c>
    </row>
    <row r="82" spans="2:5">
      <c r="B82" s="355">
        <f t="shared" si="4"/>
        <v>129</v>
      </c>
      <c r="C82" s="356">
        <f t="shared" si="5"/>
        <v>5.9525324197758534E-4</v>
      </c>
      <c r="D82" s="356">
        <f t="shared" si="6"/>
        <v>2.5017628293315403E-2</v>
      </c>
      <c r="E82" s="356">
        <f t="shared" si="7"/>
        <v>1.1436679900059044E-7</v>
      </c>
    </row>
    <row r="83" spans="2:5">
      <c r="B83" s="355">
        <f t="shared" si="4"/>
        <v>130</v>
      </c>
      <c r="C83" s="356">
        <f t="shared" si="5"/>
        <v>4.4318484119380076E-4</v>
      </c>
      <c r="D83" s="356">
        <f t="shared" si="6"/>
        <v>2.049521087106226E-2</v>
      </c>
      <c r="E83" s="356">
        <f t="shared" si="7"/>
        <v>7.0379568615747895E-8</v>
      </c>
    </row>
    <row r="84" spans="2:5">
      <c r="B84" s="355">
        <f t="shared" si="4"/>
        <v>131</v>
      </c>
      <c r="C84" s="356">
        <f t="shared" si="5"/>
        <v>3.2668190561999186E-4</v>
      </c>
      <c r="D84" s="356">
        <f t="shared" si="6"/>
        <v>1.6427459095126225E-2</v>
      </c>
      <c r="E84" s="356">
        <f t="shared" si="7"/>
        <v>4.2979889230991396E-8</v>
      </c>
    </row>
    <row r="85" spans="2:5">
      <c r="B85" s="355">
        <f t="shared" si="4"/>
        <v>132</v>
      </c>
      <c r="C85" s="356">
        <f t="shared" si="5"/>
        <v>2.3840882014648405E-4</v>
      </c>
      <c r="D85" s="356">
        <f t="shared" si="6"/>
        <v>1.288062133595126E-2</v>
      </c>
      <c r="E85" s="356">
        <f t="shared" si="7"/>
        <v>2.6048417715752565E-8</v>
      </c>
    </row>
    <row r="86" spans="2:5">
      <c r="B86" s="355">
        <f t="shared" si="4"/>
        <v>133</v>
      </c>
      <c r="C86" s="356">
        <f t="shared" si="5"/>
        <v>1.722568939053681E-4</v>
      </c>
      <c r="D86" s="356">
        <f t="shared" si="6"/>
        <v>9.8783712501280298E-3</v>
      </c>
      <c r="E86" s="356">
        <f t="shared" si="7"/>
        <v>1.5668221182407413E-8</v>
      </c>
    </row>
    <row r="87" spans="2:5">
      <c r="B87" s="355">
        <f t="shared" si="4"/>
        <v>134</v>
      </c>
      <c r="C87" s="356">
        <f t="shared" si="5"/>
        <v>1.2322191684730198E-4</v>
      </c>
      <c r="D87" s="356">
        <f t="shared" si="6"/>
        <v>7.4087784375960215E-3</v>
      </c>
      <c r="E87" s="356">
        <f t="shared" si="7"/>
        <v>9.3541618999445864E-9</v>
      </c>
    </row>
    <row r="88" spans="2:5">
      <c r="B88" s="355">
        <f t="shared" si="4"/>
        <v>135</v>
      </c>
      <c r="C88" s="356">
        <f t="shared" si="5"/>
        <v>8.726826950457601E-5</v>
      </c>
      <c r="D88" s="356">
        <f t="shared" si="6"/>
        <v>5.4331041875704091E-3</v>
      </c>
      <c r="E88" s="356">
        <f t="shared" si="7"/>
        <v>5.5432070518190713E-9</v>
      </c>
    </row>
    <row r="89" spans="2:5">
      <c r="B89" s="355">
        <f t="shared" si="4"/>
        <v>136</v>
      </c>
      <c r="C89" s="356">
        <f t="shared" si="5"/>
        <v>6.1190193011377187E-5</v>
      </c>
      <c r="D89" s="356">
        <f t="shared" si="6"/>
        <v>3.8950563109420196E-3</v>
      </c>
      <c r="E89" s="356">
        <f t="shared" si="7"/>
        <v>3.2607100304818215E-9</v>
      </c>
    </row>
    <row r="90" spans="2:5">
      <c r="B90" s="355">
        <f t="shared" si="4"/>
        <v>137</v>
      </c>
      <c r="C90" s="356">
        <f t="shared" si="5"/>
        <v>4.2478027055075142E-5</v>
      </c>
      <c r="D90" s="356">
        <f t="shared" si="6"/>
        <v>2.7293825244557265E-3</v>
      </c>
      <c r="E90" s="356">
        <f t="shared" si="7"/>
        <v>1.9040642513762551E-9</v>
      </c>
    </row>
    <row r="91" spans="2:5">
      <c r="B91" s="355">
        <f t="shared" si="4"/>
        <v>138</v>
      </c>
      <c r="C91" s="356">
        <f t="shared" si="5"/>
        <v>2.9194692579146026E-5</v>
      </c>
      <c r="D91" s="356">
        <f t="shared" si="6"/>
        <v>1.8690336852251149E-3</v>
      </c>
      <c r="E91" s="356">
        <f t="shared" si="7"/>
        <v>1.1038053631166523E-9</v>
      </c>
    </row>
    <row r="92" spans="2:5">
      <c r="B92" s="355">
        <f t="shared" si="4"/>
        <v>139</v>
      </c>
      <c r="C92" s="356">
        <f t="shared" si="5"/>
        <v>1.9865547139277272E-5</v>
      </c>
      <c r="D92" s="356">
        <f t="shared" si="6"/>
        <v>1.2505045519851505E-3</v>
      </c>
      <c r="E92" s="356">
        <f t="shared" si="7"/>
        <v>6.3528366222540957E-10</v>
      </c>
    </row>
    <row r="93" spans="2:5">
      <c r="B93" s="355">
        <f t="shared" si="4"/>
        <v>140</v>
      </c>
      <c r="C93" s="356">
        <f t="shared" si="5"/>
        <v>1.3383022576488536E-5</v>
      </c>
      <c r="D93" s="356">
        <f t="shared" si="6"/>
        <v>8.1729404647600955E-4</v>
      </c>
      <c r="E93" s="356">
        <f t="shared" si="7"/>
        <v>3.6301923555737948E-10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211A-C080-4E4E-A318-18DC9041453C}">
  <sheetPr codeName="Sheet48"/>
  <dimension ref="A1:E29"/>
  <sheetViews>
    <sheetView showGridLines="0" workbookViewId="0">
      <selection activeCell="G26" sqref="G26"/>
    </sheetView>
  </sheetViews>
  <sheetFormatPr defaultRowHeight="14.4"/>
  <cols>
    <col min="3" max="3" width="11" customWidth="1"/>
  </cols>
  <sheetData>
    <row r="1" spans="1:5">
      <c r="A1" s="362" t="s">
        <v>352</v>
      </c>
    </row>
    <row r="3" spans="1:5">
      <c r="C3" s="66" t="s">
        <v>351</v>
      </c>
      <c r="D3" s="361">
        <v>0</v>
      </c>
      <c r="E3" t="s">
        <v>350</v>
      </c>
    </row>
    <row r="4" spans="1:5">
      <c r="C4" s="66" t="s">
        <v>349</v>
      </c>
      <c r="D4" s="359">
        <f>SQRT(12*D28)-D3</f>
        <v>12</v>
      </c>
      <c r="E4" t="s">
        <v>73</v>
      </c>
    </row>
    <row r="5" spans="1:5">
      <c r="C5" s="66" t="s">
        <v>348</v>
      </c>
      <c r="D5" s="359">
        <f>(D4-D3)^2/12</f>
        <v>12</v>
      </c>
    </row>
    <row r="6" spans="1:5">
      <c r="C6" s="66"/>
      <c r="D6" s="361">
        <v>9</v>
      </c>
    </row>
    <row r="7" spans="1:5">
      <c r="C7" s="66"/>
      <c r="D7" s="360">
        <f>(D4-D6)/(D4-D3)</f>
        <v>0.25</v>
      </c>
    </row>
    <row r="8" spans="1:5">
      <c r="C8" s="66" t="s">
        <v>344</v>
      </c>
      <c r="D8" s="357">
        <v>9</v>
      </c>
    </row>
    <row r="9" spans="1:5">
      <c r="C9" s="66" t="s">
        <v>318</v>
      </c>
      <c r="D9" s="357">
        <v>12</v>
      </c>
    </row>
    <row r="10" spans="1:5">
      <c r="C10" s="66"/>
      <c r="D10" s="359">
        <f>MIN(D9,D4)-MAX(D8,D3)</f>
        <v>3</v>
      </c>
    </row>
    <row r="11" spans="1:5">
      <c r="C11" s="66"/>
      <c r="D11" s="359">
        <f>D4-D3</f>
        <v>12</v>
      </c>
    </row>
    <row r="12" spans="1:5">
      <c r="C12" s="66"/>
      <c r="D12" s="359">
        <f>D10/D11</f>
        <v>0.25</v>
      </c>
    </row>
    <row r="13" spans="1:5">
      <c r="C13" s="66"/>
      <c r="D13" s="357"/>
    </row>
    <row r="14" spans="1:5">
      <c r="C14" s="66" t="s">
        <v>347</v>
      </c>
      <c r="D14" s="357">
        <v>0</v>
      </c>
    </row>
    <row r="15" spans="1:5">
      <c r="C15" s="66" t="s">
        <v>346</v>
      </c>
      <c r="D15" s="359">
        <f>SQRT(12*D29)-D14</f>
        <v>18</v>
      </c>
    </row>
    <row r="16" spans="1:5">
      <c r="C16" s="66" t="s">
        <v>345</v>
      </c>
      <c r="D16" s="359">
        <f>(D15-D14)^2/12</f>
        <v>27</v>
      </c>
    </row>
    <row r="17" spans="3:4">
      <c r="C17" s="66"/>
      <c r="D17" s="359">
        <f>D6</f>
        <v>9</v>
      </c>
    </row>
    <row r="18" spans="3:4">
      <c r="C18" s="66"/>
      <c r="D18" s="360">
        <f>(D15-D17)/(D15-D14)</f>
        <v>0.5</v>
      </c>
    </row>
    <row r="19" spans="3:4">
      <c r="C19" s="66" t="s">
        <v>344</v>
      </c>
      <c r="D19" s="357">
        <v>9</v>
      </c>
    </row>
    <row r="20" spans="3:4">
      <c r="C20" s="66" t="s">
        <v>318</v>
      </c>
      <c r="D20" s="357">
        <v>18</v>
      </c>
    </row>
    <row r="21" spans="3:4">
      <c r="C21" s="66"/>
      <c r="D21" s="359">
        <f>MIN(D20,D15)-MAX(D19,D14)</f>
        <v>9</v>
      </c>
    </row>
    <row r="22" spans="3:4">
      <c r="C22" s="66"/>
      <c r="D22" s="359">
        <f>D15-D14</f>
        <v>18</v>
      </c>
    </row>
    <row r="23" spans="3:4">
      <c r="C23" s="66"/>
      <c r="D23" s="359">
        <f>D21/D22</f>
        <v>0.5</v>
      </c>
    </row>
    <row r="24" spans="3:4">
      <c r="C24" s="66"/>
      <c r="D24" s="357"/>
    </row>
    <row r="25" spans="3:4">
      <c r="C25" s="66"/>
      <c r="D25" s="358">
        <f>D7*D18</f>
        <v>0.125</v>
      </c>
    </row>
    <row r="26" spans="3:4">
      <c r="C26" s="66"/>
      <c r="D26" s="358">
        <f>D12*D23</f>
        <v>0.125</v>
      </c>
    </row>
    <row r="27" spans="3:4">
      <c r="C27" s="66"/>
      <c r="D27" s="357"/>
    </row>
    <row r="28" spans="3:4">
      <c r="C28" s="66" t="s">
        <v>343</v>
      </c>
      <c r="D28" s="357">
        <v>12</v>
      </c>
    </row>
    <row r="29" spans="3:4">
      <c r="C29" s="66" t="s">
        <v>342</v>
      </c>
      <c r="D29" s="357">
        <v>27</v>
      </c>
    </row>
  </sheetData>
  <hyperlinks>
    <hyperlink ref="A1" r:id="rId1" xr:uid="{054F2B58-7BA8-4745-AB38-2A92F2086A18}"/>
  </hyperlinks>
  <pageMargins left="0.7" right="0.7" top="0.75" bottom="0.75" header="0.3" footer="0.3"/>
  <pageSetup orientation="portrait" horizontalDpi="0" verticalDpi="0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7B02-4209-4C6F-A820-88A56EC997C2}">
  <sheetPr codeName="Sheet49"/>
  <dimension ref="B1:K30"/>
  <sheetViews>
    <sheetView showGridLines="0" workbookViewId="0">
      <selection activeCell="Q33" sqref="Q33"/>
    </sheetView>
  </sheetViews>
  <sheetFormatPr defaultColWidth="9.109375" defaultRowHeight="14.4"/>
  <cols>
    <col min="1" max="6" width="9.109375" style="318"/>
    <col min="7" max="7" width="12" style="318" bestFit="1" customWidth="1"/>
    <col min="8" max="16384" width="9.109375" style="318"/>
  </cols>
  <sheetData>
    <row r="1" spans="2:11" s="317" customFormat="1"/>
    <row r="2" spans="2:11">
      <c r="E2" s="370">
        <f>E4/E3</f>
        <v>0.95</v>
      </c>
    </row>
    <row r="3" spans="2:11">
      <c r="B3" s="318" t="s">
        <v>354</v>
      </c>
      <c r="E3" s="369">
        <v>4</v>
      </c>
    </row>
    <row r="4" spans="2:11">
      <c r="B4" s="318" t="s">
        <v>353</v>
      </c>
      <c r="E4" s="369">
        <v>3.8</v>
      </c>
    </row>
    <row r="5" spans="2:11">
      <c r="B5" s="319" t="s">
        <v>316</v>
      </c>
      <c r="C5" s="320">
        <v>10</v>
      </c>
      <c r="D5" s="320">
        <v>50</v>
      </c>
      <c r="E5" s="368">
        <f>E3/E6</f>
        <v>79.999999999999929</v>
      </c>
    </row>
    <row r="6" spans="2:11">
      <c r="B6" s="319" t="s">
        <v>247</v>
      </c>
      <c r="C6" s="321">
        <v>0.1</v>
      </c>
      <c r="D6" s="321">
        <f>$C$6</f>
        <v>0.1</v>
      </c>
      <c r="E6" s="367">
        <f>1-E4/E3</f>
        <v>5.0000000000000044E-2</v>
      </c>
    </row>
    <row r="8" spans="2:11">
      <c r="B8" s="319" t="s">
        <v>11</v>
      </c>
      <c r="C8" s="319" t="str">
        <f>"N = "&amp;C5</f>
        <v>N = 10</v>
      </c>
      <c r="D8" s="319" t="str">
        <f>"N = "&amp;D5</f>
        <v>N = 50</v>
      </c>
      <c r="E8" s="366" t="str">
        <f>"N = "&amp;E5</f>
        <v>N = 79.9999999999999</v>
      </c>
    </row>
    <row r="9" spans="2:11">
      <c r="B9" s="318">
        <v>0</v>
      </c>
      <c r="C9" s="322">
        <f t="shared" ref="C9:E19" si="0">_xlfn.BINOM.DIST($B9,C$5,C$6,FALSE)</f>
        <v>0.34867844009999993</v>
      </c>
      <c r="D9" s="322">
        <f t="shared" si="0"/>
        <v>5.1537752073201135E-3</v>
      </c>
      <c r="E9" s="363">
        <f t="shared" si="0"/>
        <v>1.7384604615803774E-2</v>
      </c>
    </row>
    <row r="10" spans="2:11">
      <c r="B10" s="318">
        <f t="shared" ref="B10:B29" si="1">B9+1</f>
        <v>1</v>
      </c>
      <c r="C10" s="322">
        <f t="shared" si="0"/>
        <v>0.38742048899999998</v>
      </c>
      <c r="D10" s="322">
        <f t="shared" si="0"/>
        <v>2.8632084485111769E-2</v>
      </c>
      <c r="E10" s="363">
        <f t="shared" si="0"/>
        <v>7.228335603413151E-2</v>
      </c>
    </row>
    <row r="11" spans="2:11">
      <c r="B11" s="318">
        <f t="shared" si="1"/>
        <v>2</v>
      </c>
      <c r="C11" s="322">
        <f t="shared" si="0"/>
        <v>0.19371024450000005</v>
      </c>
      <c r="D11" s="322">
        <f t="shared" si="0"/>
        <v>7.7942896653915308E-2</v>
      </c>
      <c r="E11" s="363">
        <f t="shared" si="0"/>
        <v>0.1483710992279543</v>
      </c>
    </row>
    <row r="12" spans="2:11">
      <c r="B12" s="318">
        <f t="shared" si="1"/>
        <v>3</v>
      </c>
      <c r="C12" s="322">
        <f t="shared" si="0"/>
        <v>5.739562799999999E-2</v>
      </c>
      <c r="D12" s="322">
        <f t="shared" si="0"/>
        <v>0.13856514960696051</v>
      </c>
      <c r="E12" s="363">
        <f t="shared" si="0"/>
        <v>0.20043113404478052</v>
      </c>
    </row>
    <row r="13" spans="2:11">
      <c r="B13" s="318">
        <f t="shared" si="1"/>
        <v>4</v>
      </c>
      <c r="C13" s="322">
        <f t="shared" si="0"/>
        <v>1.1160261000000003E-2</v>
      </c>
      <c r="D13" s="322">
        <f t="shared" si="0"/>
        <v>0.18090450087575405</v>
      </c>
      <c r="E13" s="363">
        <f t="shared" si="0"/>
        <v>0.2004311340447808</v>
      </c>
      <c r="G13" s="365">
        <f>5%^4*95%^76</f>
        <v>1.2672841970989813E-7</v>
      </c>
      <c r="H13" s="318">
        <f>COMBIN(80,4)</f>
        <v>1581580</v>
      </c>
      <c r="I13" s="318">
        <f>G13*H13</f>
        <v>0.20043113404478069</v>
      </c>
      <c r="K13" s="364">
        <f>_xlfn.POISSON.DIST(4,4, FALSE)</f>
        <v>0.19536681481316462</v>
      </c>
    </row>
    <row r="14" spans="2:11">
      <c r="B14" s="318">
        <f t="shared" si="1"/>
        <v>5</v>
      </c>
      <c r="C14" s="322">
        <f t="shared" si="0"/>
        <v>1.4880348000000001E-3</v>
      </c>
      <c r="D14" s="322">
        <f t="shared" si="0"/>
        <v>0.18492460089521523</v>
      </c>
      <c r="E14" s="363">
        <f t="shared" si="0"/>
        <v>0.15823510582482703</v>
      </c>
    </row>
    <row r="15" spans="2:11">
      <c r="B15" s="318">
        <f t="shared" si="1"/>
        <v>6</v>
      </c>
      <c r="C15" s="322">
        <f t="shared" si="0"/>
        <v>1.3778099999999988E-4</v>
      </c>
      <c r="D15" s="322">
        <f t="shared" si="0"/>
        <v>0.15410383407934602</v>
      </c>
      <c r="E15" s="363">
        <f t="shared" si="0"/>
        <v>0.10271401606172993</v>
      </c>
    </row>
    <row r="16" spans="2:11">
      <c r="B16" s="318">
        <f t="shared" si="1"/>
        <v>7</v>
      </c>
      <c r="C16" s="322">
        <f t="shared" si="0"/>
        <v>8.7480000000000084E-6</v>
      </c>
      <c r="D16" s="322">
        <f t="shared" si="0"/>
        <v>0.10762807459509882</v>
      </c>
      <c r="E16" s="363">
        <f t="shared" si="0"/>
        <v>5.6376865958693879E-2</v>
      </c>
    </row>
    <row r="17" spans="2:5">
      <c r="B17" s="318">
        <f t="shared" si="1"/>
        <v>8</v>
      </c>
      <c r="C17" s="322">
        <f t="shared" si="0"/>
        <v>3.6450000000000065E-7</v>
      </c>
      <c r="D17" s="322">
        <f t="shared" si="0"/>
        <v>6.427787788318394E-2</v>
      </c>
      <c r="E17" s="363">
        <f t="shared" si="0"/>
        <v>2.6704831243591919E-2</v>
      </c>
    </row>
    <row r="18" spans="2:5">
      <c r="B18" s="318">
        <f t="shared" si="1"/>
        <v>9</v>
      </c>
      <c r="C18" s="322">
        <f t="shared" si="0"/>
        <v>8.9999999999999962E-9</v>
      </c>
      <c r="D18" s="322">
        <f t="shared" si="0"/>
        <v>3.3329270013502811E-2</v>
      </c>
      <c r="E18" s="363">
        <f t="shared" si="0"/>
        <v>1.108797086722238E-2</v>
      </c>
    </row>
    <row r="19" spans="2:5">
      <c r="B19" s="318">
        <f t="shared" si="1"/>
        <v>10</v>
      </c>
      <c r="C19" s="322">
        <f t="shared" si="0"/>
        <v>1.0000000000000031E-10</v>
      </c>
      <c r="D19" s="322">
        <f t="shared" si="0"/>
        <v>1.5183334117262394E-2</v>
      </c>
      <c r="E19" s="363">
        <f t="shared" si="0"/>
        <v>4.0850418984503594E-3</v>
      </c>
    </row>
    <row r="20" spans="2:5">
      <c r="B20" s="318">
        <f t="shared" si="1"/>
        <v>11</v>
      </c>
      <c r="C20" s="322"/>
      <c r="D20" s="322">
        <f t="shared" ref="D20:E29" si="2">_xlfn.BINOM.DIST($B20,D$5,D$6,FALSE)</f>
        <v>6.1346804514191451E-3</v>
      </c>
      <c r="E20" s="363">
        <f t="shared" si="2"/>
        <v>1.3486501961391115E-3</v>
      </c>
    </row>
    <row r="21" spans="2:5">
      <c r="B21" s="318">
        <f t="shared" si="1"/>
        <v>12</v>
      </c>
      <c r="C21" s="322"/>
      <c r="D21" s="322">
        <f t="shared" si="2"/>
        <v>2.2153012741235817E-3</v>
      </c>
      <c r="E21" s="363">
        <f t="shared" si="2"/>
        <v>4.0222900586605204E-4</v>
      </c>
    </row>
    <row r="22" spans="2:5">
      <c r="B22" s="318">
        <f t="shared" si="1"/>
        <v>13</v>
      </c>
      <c r="C22" s="322"/>
      <c r="D22" s="322">
        <f t="shared" si="2"/>
        <v>7.1949955911706056E-4</v>
      </c>
      <c r="E22" s="363">
        <f t="shared" si="2"/>
        <v>1.0910665341305855E-4</v>
      </c>
    </row>
    <row r="23" spans="2:5">
      <c r="B23" s="318">
        <f t="shared" si="1"/>
        <v>14</v>
      </c>
      <c r="C23" s="322"/>
      <c r="D23" s="322">
        <f t="shared" si="2"/>
        <v>2.1128161656612144E-4</v>
      </c>
      <c r="E23" s="363">
        <f t="shared" si="2"/>
        <v>2.7071575658879294E-5</v>
      </c>
    </row>
    <row r="24" spans="2:5">
      <c r="B24" s="318">
        <f t="shared" si="1"/>
        <v>15</v>
      </c>
      <c r="C24" s="322"/>
      <c r="D24" s="322">
        <f t="shared" si="2"/>
        <v>5.6341764417632174E-5</v>
      </c>
      <c r="E24" s="363">
        <f t="shared" si="2"/>
        <v>6.1742190099198472E-6</v>
      </c>
    </row>
    <row r="25" spans="2:5">
      <c r="B25" s="318">
        <f t="shared" si="1"/>
        <v>16</v>
      </c>
      <c r="C25" s="322"/>
      <c r="D25" s="322">
        <f t="shared" si="2"/>
        <v>1.3694178851507846E-5</v>
      </c>
      <c r="E25" s="363">
        <f t="shared" si="2"/>
        <v>1.2998355810357601E-6</v>
      </c>
    </row>
    <row r="26" spans="2:5">
      <c r="B26" s="318">
        <f t="shared" si="1"/>
        <v>17</v>
      </c>
      <c r="C26" s="322"/>
      <c r="D26" s="322">
        <f t="shared" si="2"/>
        <v>3.0431508558906323E-6</v>
      </c>
      <c r="E26" s="363">
        <f t="shared" si="2"/>
        <v>2.5352830218344574E-7</v>
      </c>
    </row>
    <row r="27" spans="2:5">
      <c r="B27" s="318">
        <f t="shared" si="1"/>
        <v>18</v>
      </c>
      <c r="C27" s="322"/>
      <c r="D27" s="322">
        <f t="shared" si="2"/>
        <v>6.1990110027401786E-7</v>
      </c>
      <c r="E27" s="363">
        <f t="shared" si="2"/>
        <v>4.5961271156063287E-8</v>
      </c>
    </row>
    <row r="28" spans="2:5">
      <c r="B28" s="318">
        <f t="shared" si="1"/>
        <v>19</v>
      </c>
      <c r="C28" s="322"/>
      <c r="D28" s="322">
        <f t="shared" si="2"/>
        <v>1.160048842618044E-7</v>
      </c>
      <c r="E28" s="363">
        <f t="shared" si="2"/>
        <v>7.7663089765093154E-9</v>
      </c>
    </row>
    <row r="29" spans="2:5">
      <c r="B29" s="318">
        <f t="shared" si="1"/>
        <v>20</v>
      </c>
      <c r="C29" s="322"/>
      <c r="D29" s="322">
        <f t="shared" si="2"/>
        <v>1.9978618956199636E-8</v>
      </c>
      <c r="E29" s="363">
        <f t="shared" si="2"/>
        <v>1.2262593120804218E-9</v>
      </c>
    </row>
    <row r="30" spans="2:5">
      <c r="C30" s="322"/>
      <c r="D30" s="322"/>
      <c r="E30" s="322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73AB-3139-4050-B0E0-3779B5BE230B}">
  <sheetPr codeName="Sheet50"/>
  <dimension ref="D4:O110"/>
  <sheetViews>
    <sheetView showGridLines="0" workbookViewId="0">
      <selection activeCell="I15" sqref="I15"/>
    </sheetView>
  </sheetViews>
  <sheetFormatPr defaultRowHeight="14.4"/>
  <cols>
    <col min="7" max="7" width="11.77734375" customWidth="1"/>
    <col min="14" max="14" width="12" bestFit="1" customWidth="1"/>
  </cols>
  <sheetData>
    <row r="4" spans="4:15">
      <c r="N4" s="97"/>
      <c r="O4" s="97"/>
    </row>
    <row r="5" spans="4:15">
      <c r="D5" s="66" t="s">
        <v>247</v>
      </c>
      <c r="E5" s="28">
        <f>5/8</f>
        <v>0.625</v>
      </c>
      <c r="N5" s="97"/>
      <c r="O5" s="97"/>
    </row>
    <row r="6" spans="4:15">
      <c r="D6" s="66" t="s">
        <v>341</v>
      </c>
      <c r="E6" s="28">
        <v>60</v>
      </c>
      <c r="N6" s="97"/>
      <c r="O6" s="97"/>
    </row>
    <row r="7" spans="4:15">
      <c r="D7" s="66"/>
      <c r="N7" s="97"/>
      <c r="O7" s="97"/>
    </row>
    <row r="8" spans="4:15">
      <c r="D8" s="66" t="s">
        <v>13</v>
      </c>
      <c r="E8">
        <f>E5*(1-E5)*E6</f>
        <v>14.0625</v>
      </c>
      <c r="G8" s="542" t="s">
        <v>428</v>
      </c>
      <c r="H8" s="541">
        <f>_xlfn.NORM.DIST(E12,E11,E9,TRUE)</f>
        <v>2.2750131948179191E-2</v>
      </c>
      <c r="N8" s="97"/>
      <c r="O8" s="97"/>
    </row>
    <row r="9" spans="4:15">
      <c r="D9" s="66" t="s">
        <v>427</v>
      </c>
      <c r="E9">
        <f>SQRT(E8)</f>
        <v>3.75</v>
      </c>
      <c r="N9" s="97"/>
      <c r="O9" s="97"/>
    </row>
    <row r="10" spans="4:15">
      <c r="D10" s="66"/>
      <c r="N10" s="97"/>
      <c r="O10" s="97"/>
    </row>
    <row r="11" spans="4:15">
      <c r="D11" s="66" t="s">
        <v>426</v>
      </c>
      <c r="E11">
        <f>E5*E6</f>
        <v>37.5</v>
      </c>
      <c r="N11" s="97"/>
      <c r="O11" s="97"/>
    </row>
    <row r="12" spans="4:15">
      <c r="D12" s="66"/>
      <c r="E12" s="540">
        <v>30</v>
      </c>
      <c r="N12" s="97"/>
      <c r="O12" s="97"/>
    </row>
    <row r="13" spans="4:15">
      <c r="D13" s="66"/>
      <c r="N13" s="97"/>
      <c r="O13" s="97"/>
    </row>
    <row r="14" spans="4:15">
      <c r="D14" s="66"/>
      <c r="N14" s="97"/>
      <c r="O14" s="97"/>
    </row>
    <row r="15" spans="4:15">
      <c r="D15" s="66"/>
      <c r="E15" s="138"/>
      <c r="N15" s="97"/>
      <c r="O15" s="97"/>
    </row>
    <row r="16" spans="4:15">
      <c r="D16" s="66"/>
      <c r="E16" s="138"/>
      <c r="N16" s="97"/>
      <c r="O16" s="97"/>
    </row>
    <row r="17" spans="4:15">
      <c r="D17" s="66"/>
      <c r="E17" s="138"/>
      <c r="N17" s="97"/>
      <c r="O17" s="97"/>
    </row>
    <row r="18" spans="4:15">
      <c r="D18" s="66"/>
      <c r="N18" s="97"/>
      <c r="O18" s="97"/>
    </row>
    <row r="19" spans="4:15">
      <c r="D19" s="66"/>
      <c r="N19" s="97"/>
      <c r="O19" s="97"/>
    </row>
    <row r="20" spans="4:15">
      <c r="D20" s="66"/>
      <c r="N20" s="97"/>
      <c r="O20" s="97"/>
    </row>
    <row r="21" spans="4:15">
      <c r="D21" s="66"/>
      <c r="N21" s="97"/>
      <c r="O21" s="97"/>
    </row>
    <row r="22" spans="4:15">
      <c r="N22" s="97"/>
      <c r="O22" s="97"/>
    </row>
    <row r="23" spans="4:15">
      <c r="N23" s="97"/>
      <c r="O23" s="97"/>
    </row>
    <row r="24" spans="4:15">
      <c r="N24" s="97"/>
      <c r="O24" s="97"/>
    </row>
    <row r="25" spans="4:15">
      <c r="N25" s="97"/>
      <c r="O25" s="97"/>
    </row>
    <row r="26" spans="4:15">
      <c r="F26" s="30"/>
      <c r="N26" s="97"/>
      <c r="O26" s="97"/>
    </row>
    <row r="27" spans="4:15">
      <c r="F27" s="30"/>
      <c r="N27" s="97"/>
      <c r="O27" s="97"/>
    </row>
    <row r="28" spans="4:15">
      <c r="N28" s="97"/>
      <c r="O28" s="97"/>
    </row>
    <row r="29" spans="4:15">
      <c r="N29" s="97"/>
      <c r="O29" s="97"/>
    </row>
    <row r="30" spans="4:15">
      <c r="N30" s="97"/>
      <c r="O30" s="97"/>
    </row>
    <row r="31" spans="4:15">
      <c r="N31" s="97"/>
      <c r="O31" s="97"/>
    </row>
    <row r="32" spans="4:15">
      <c r="N32" s="97"/>
      <c r="O32" s="97"/>
    </row>
    <row r="33" spans="5:15">
      <c r="N33" s="97"/>
      <c r="O33" s="97"/>
    </row>
    <row r="34" spans="5:15">
      <c r="N34" s="97"/>
      <c r="O34" s="97"/>
    </row>
    <row r="35" spans="5:15">
      <c r="E35" s="33"/>
      <c r="N35" s="97"/>
      <c r="O35" s="97"/>
    </row>
    <row r="36" spans="5:15">
      <c r="N36" s="97"/>
      <c r="O36" s="97"/>
    </row>
    <row r="37" spans="5:15">
      <c r="N37" s="97"/>
      <c r="O37" s="97"/>
    </row>
    <row r="38" spans="5:15">
      <c r="N38" s="97"/>
      <c r="O38" s="97"/>
    </row>
    <row r="39" spans="5:15">
      <c r="N39" s="97"/>
      <c r="O39" s="97"/>
    </row>
    <row r="40" spans="5:15">
      <c r="N40" s="97"/>
      <c r="O40" s="97"/>
    </row>
    <row r="41" spans="5:15">
      <c r="N41" s="97"/>
      <c r="O41" s="97"/>
    </row>
    <row r="42" spans="5:15">
      <c r="N42" s="97"/>
      <c r="O42" s="97"/>
    </row>
    <row r="43" spans="5:15">
      <c r="N43" s="97"/>
      <c r="O43" s="97"/>
    </row>
    <row r="44" spans="5:15">
      <c r="N44" s="97"/>
      <c r="O44" s="97"/>
    </row>
    <row r="45" spans="5:15">
      <c r="N45" s="97"/>
      <c r="O45" s="97"/>
    </row>
    <row r="46" spans="5:15">
      <c r="N46" s="97"/>
      <c r="O46" s="97"/>
    </row>
    <row r="47" spans="5:15">
      <c r="N47" s="97"/>
      <c r="O47" s="97"/>
    </row>
    <row r="48" spans="5:15">
      <c r="N48" s="97"/>
      <c r="O48" s="97"/>
    </row>
    <row r="49" spans="14:15">
      <c r="N49" s="97"/>
      <c r="O49" s="97"/>
    </row>
    <row r="50" spans="14:15">
      <c r="N50" s="97"/>
      <c r="O50" s="97"/>
    </row>
    <row r="51" spans="14:15">
      <c r="N51" s="97"/>
      <c r="O51" s="97"/>
    </row>
    <row r="52" spans="14:15">
      <c r="N52" s="97"/>
      <c r="O52" s="97"/>
    </row>
    <row r="53" spans="14:15">
      <c r="N53" s="97"/>
      <c r="O53" s="97"/>
    </row>
    <row r="54" spans="14:15">
      <c r="N54" s="97"/>
      <c r="O54" s="97"/>
    </row>
    <row r="55" spans="14:15">
      <c r="N55" s="97"/>
      <c r="O55" s="97"/>
    </row>
    <row r="56" spans="14:15">
      <c r="N56" s="97"/>
      <c r="O56" s="97"/>
    </row>
    <row r="57" spans="14:15">
      <c r="N57" s="97"/>
      <c r="O57" s="97"/>
    </row>
    <row r="58" spans="14:15">
      <c r="N58" s="97"/>
      <c r="O58" s="97"/>
    </row>
    <row r="59" spans="14:15">
      <c r="N59" s="97"/>
      <c r="O59" s="97"/>
    </row>
    <row r="60" spans="14:15">
      <c r="N60" s="97"/>
      <c r="O60" s="97"/>
    </row>
    <row r="61" spans="14:15">
      <c r="N61" s="97"/>
      <c r="O61" s="97"/>
    </row>
    <row r="62" spans="14:15">
      <c r="N62" s="97"/>
      <c r="O62" s="97"/>
    </row>
    <row r="63" spans="14:15">
      <c r="N63" s="97"/>
      <c r="O63" s="97"/>
    </row>
    <row r="64" spans="14:15">
      <c r="N64" s="97"/>
      <c r="O64" s="97"/>
    </row>
    <row r="65" spans="14:15">
      <c r="N65" s="97"/>
      <c r="O65" s="97"/>
    </row>
    <row r="66" spans="14:15">
      <c r="N66" s="97"/>
      <c r="O66" s="97"/>
    </row>
    <row r="67" spans="14:15">
      <c r="N67" s="97"/>
      <c r="O67" s="97"/>
    </row>
    <row r="68" spans="14:15">
      <c r="N68" s="97"/>
      <c r="O68" s="97"/>
    </row>
    <row r="69" spans="14:15">
      <c r="N69" s="97"/>
      <c r="O69" s="97"/>
    </row>
    <row r="70" spans="14:15">
      <c r="N70" s="97"/>
      <c r="O70" s="97"/>
    </row>
    <row r="71" spans="14:15">
      <c r="N71" s="97"/>
      <c r="O71" s="97"/>
    </row>
    <row r="72" spans="14:15">
      <c r="N72" s="97"/>
      <c r="O72" s="97"/>
    </row>
    <row r="73" spans="14:15">
      <c r="N73" s="97"/>
      <c r="O73" s="97"/>
    </row>
    <row r="74" spans="14:15">
      <c r="N74" s="97"/>
      <c r="O74" s="97"/>
    </row>
    <row r="75" spans="14:15">
      <c r="N75" s="97"/>
      <c r="O75" s="97"/>
    </row>
    <row r="76" spans="14:15">
      <c r="N76" s="97"/>
      <c r="O76" s="97"/>
    </row>
    <row r="77" spans="14:15">
      <c r="N77" s="97"/>
      <c r="O77" s="97"/>
    </row>
    <row r="78" spans="14:15">
      <c r="N78" s="97"/>
      <c r="O78" s="97"/>
    </row>
    <row r="79" spans="14:15">
      <c r="N79" s="97"/>
      <c r="O79" s="97"/>
    </row>
    <row r="80" spans="14:15">
      <c r="N80" s="97"/>
      <c r="O80" s="97"/>
    </row>
    <row r="81" spans="14:15">
      <c r="N81" s="97"/>
      <c r="O81" s="97"/>
    </row>
    <row r="82" spans="14:15">
      <c r="N82" s="97"/>
      <c r="O82" s="97"/>
    </row>
    <row r="83" spans="14:15">
      <c r="N83" s="97"/>
      <c r="O83" s="97"/>
    </row>
    <row r="84" spans="14:15">
      <c r="N84" s="97"/>
      <c r="O84" s="97"/>
    </row>
    <row r="85" spans="14:15">
      <c r="N85" s="97"/>
      <c r="O85" s="97"/>
    </row>
    <row r="86" spans="14:15">
      <c r="N86" s="97"/>
      <c r="O86" s="97"/>
    </row>
    <row r="87" spans="14:15">
      <c r="N87" s="97"/>
      <c r="O87" s="97"/>
    </row>
    <row r="88" spans="14:15">
      <c r="N88" s="97"/>
      <c r="O88" s="97"/>
    </row>
    <row r="89" spans="14:15">
      <c r="N89" s="97"/>
      <c r="O89" s="97"/>
    </row>
    <row r="90" spans="14:15">
      <c r="N90" s="97"/>
      <c r="O90" s="97"/>
    </row>
    <row r="91" spans="14:15">
      <c r="N91" s="97"/>
      <c r="O91" s="97"/>
    </row>
    <row r="92" spans="14:15">
      <c r="N92" s="97"/>
      <c r="O92" s="97"/>
    </row>
    <row r="93" spans="14:15">
      <c r="N93" s="97"/>
      <c r="O93" s="97"/>
    </row>
    <row r="94" spans="14:15">
      <c r="N94" s="97"/>
      <c r="O94" s="97"/>
    </row>
    <row r="95" spans="14:15">
      <c r="N95" s="97"/>
      <c r="O95" s="97"/>
    </row>
    <row r="96" spans="14:15">
      <c r="N96" s="97"/>
      <c r="O96" s="97"/>
    </row>
    <row r="97" spans="14:15">
      <c r="N97" s="97"/>
      <c r="O97" s="97"/>
    </row>
    <row r="98" spans="14:15">
      <c r="N98" s="97"/>
      <c r="O98" s="97"/>
    </row>
    <row r="99" spans="14:15">
      <c r="N99" s="97"/>
      <c r="O99" s="97"/>
    </row>
    <row r="100" spans="14:15">
      <c r="N100" s="97"/>
      <c r="O100" s="97"/>
    </row>
    <row r="101" spans="14:15">
      <c r="N101" s="97"/>
      <c r="O101" s="97"/>
    </row>
    <row r="102" spans="14:15">
      <c r="N102" s="97"/>
      <c r="O102" s="97"/>
    </row>
    <row r="103" spans="14:15">
      <c r="N103" s="97"/>
      <c r="O103" s="97"/>
    </row>
    <row r="104" spans="14:15">
      <c r="N104" s="97"/>
      <c r="O104" s="97"/>
    </row>
    <row r="105" spans="14:15">
      <c r="N105" s="97"/>
      <c r="O105" s="97"/>
    </row>
    <row r="106" spans="14:15">
      <c r="N106" s="97"/>
      <c r="O106" s="97"/>
    </row>
    <row r="107" spans="14:15">
      <c r="N107" s="97"/>
      <c r="O107" s="97"/>
    </row>
    <row r="108" spans="14:15">
      <c r="N108" s="97"/>
      <c r="O108" s="97"/>
    </row>
    <row r="109" spans="14:15">
      <c r="N109" s="97"/>
      <c r="O109" s="97"/>
    </row>
    <row r="110" spans="14:15">
      <c r="N110" s="97"/>
      <c r="O110" s="97"/>
    </row>
  </sheetData>
  <pageMargins left="0.7" right="0.7" top="0.75" bottom="0.75" header="0.3" footer="0.3"/>
  <pageSetup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E34E-06C0-479B-B464-C7FCEE285BCC}">
  <sheetPr codeName="Sheet51"/>
  <dimension ref="A1:IV34"/>
  <sheetViews>
    <sheetView showGridLines="0" zoomScaleSheetLayoutView="1" workbookViewId="0">
      <selection activeCell="N13" sqref="N13"/>
    </sheetView>
  </sheetViews>
  <sheetFormatPr defaultColWidth="10.109375" defaultRowHeight="14.4"/>
  <cols>
    <col min="1" max="1" width="2" style="489" customWidth="1"/>
    <col min="2" max="2" width="4" style="489" customWidth="1"/>
    <col min="3" max="3" width="15.5546875" style="489" customWidth="1"/>
    <col min="4" max="7" width="14.44140625" style="489" customWidth="1"/>
    <col min="8" max="256" width="10.109375" style="489"/>
    <col min="257" max="257" width="2" style="489" customWidth="1"/>
    <col min="258" max="258" width="4" style="489" customWidth="1"/>
    <col min="259" max="259" width="15.5546875" style="489" customWidth="1"/>
    <col min="260" max="263" width="14.44140625" style="489" customWidth="1"/>
    <col min="264" max="512" width="10.109375" style="489"/>
    <col min="513" max="513" width="2" style="489" customWidth="1"/>
    <col min="514" max="514" width="4" style="489" customWidth="1"/>
    <col min="515" max="515" width="15.5546875" style="489" customWidth="1"/>
    <col min="516" max="519" width="14.44140625" style="489" customWidth="1"/>
    <col min="520" max="768" width="10.109375" style="489"/>
    <col min="769" max="769" width="2" style="489" customWidth="1"/>
    <col min="770" max="770" width="4" style="489" customWidth="1"/>
    <col min="771" max="771" width="15.5546875" style="489" customWidth="1"/>
    <col min="772" max="775" width="14.44140625" style="489" customWidth="1"/>
    <col min="776" max="1024" width="10.109375" style="489"/>
    <col min="1025" max="1025" width="2" style="489" customWidth="1"/>
    <col min="1026" max="1026" width="4" style="489" customWidth="1"/>
    <col min="1027" max="1027" width="15.5546875" style="489" customWidth="1"/>
    <col min="1028" max="1031" width="14.44140625" style="489" customWidth="1"/>
    <col min="1032" max="1280" width="10.109375" style="489"/>
    <col min="1281" max="1281" width="2" style="489" customWidth="1"/>
    <col min="1282" max="1282" width="4" style="489" customWidth="1"/>
    <col min="1283" max="1283" width="15.5546875" style="489" customWidth="1"/>
    <col min="1284" max="1287" width="14.44140625" style="489" customWidth="1"/>
    <col min="1288" max="1536" width="10.109375" style="489"/>
    <col min="1537" max="1537" width="2" style="489" customWidth="1"/>
    <col min="1538" max="1538" width="4" style="489" customWidth="1"/>
    <col min="1539" max="1539" width="15.5546875" style="489" customWidth="1"/>
    <col min="1540" max="1543" width="14.44140625" style="489" customWidth="1"/>
    <col min="1544" max="1792" width="10.109375" style="489"/>
    <col min="1793" max="1793" width="2" style="489" customWidth="1"/>
    <col min="1794" max="1794" width="4" style="489" customWidth="1"/>
    <col min="1795" max="1795" width="15.5546875" style="489" customWidth="1"/>
    <col min="1796" max="1799" width="14.44140625" style="489" customWidth="1"/>
    <col min="1800" max="2048" width="10.109375" style="489"/>
    <col min="2049" max="2049" width="2" style="489" customWidth="1"/>
    <col min="2050" max="2050" width="4" style="489" customWidth="1"/>
    <col min="2051" max="2051" width="15.5546875" style="489" customWidth="1"/>
    <col min="2052" max="2055" width="14.44140625" style="489" customWidth="1"/>
    <col min="2056" max="2304" width="10.109375" style="489"/>
    <col min="2305" max="2305" width="2" style="489" customWidth="1"/>
    <col min="2306" max="2306" width="4" style="489" customWidth="1"/>
    <col min="2307" max="2307" width="15.5546875" style="489" customWidth="1"/>
    <col min="2308" max="2311" width="14.44140625" style="489" customWidth="1"/>
    <col min="2312" max="2560" width="10.109375" style="489"/>
    <col min="2561" max="2561" width="2" style="489" customWidth="1"/>
    <col min="2562" max="2562" width="4" style="489" customWidth="1"/>
    <col min="2563" max="2563" width="15.5546875" style="489" customWidth="1"/>
    <col min="2564" max="2567" width="14.44140625" style="489" customWidth="1"/>
    <col min="2568" max="2816" width="10.109375" style="489"/>
    <col min="2817" max="2817" width="2" style="489" customWidth="1"/>
    <col min="2818" max="2818" width="4" style="489" customWidth="1"/>
    <col min="2819" max="2819" width="15.5546875" style="489" customWidth="1"/>
    <col min="2820" max="2823" width="14.44140625" style="489" customWidth="1"/>
    <col min="2824" max="3072" width="10.109375" style="489"/>
    <col min="3073" max="3073" width="2" style="489" customWidth="1"/>
    <col min="3074" max="3074" width="4" style="489" customWidth="1"/>
    <col min="3075" max="3075" width="15.5546875" style="489" customWidth="1"/>
    <col min="3076" max="3079" width="14.44140625" style="489" customWidth="1"/>
    <col min="3080" max="3328" width="10.109375" style="489"/>
    <col min="3329" max="3329" width="2" style="489" customWidth="1"/>
    <col min="3330" max="3330" width="4" style="489" customWidth="1"/>
    <col min="3331" max="3331" width="15.5546875" style="489" customWidth="1"/>
    <col min="3332" max="3335" width="14.44140625" style="489" customWidth="1"/>
    <col min="3336" max="3584" width="10.109375" style="489"/>
    <col min="3585" max="3585" width="2" style="489" customWidth="1"/>
    <col min="3586" max="3586" width="4" style="489" customWidth="1"/>
    <col min="3587" max="3587" width="15.5546875" style="489" customWidth="1"/>
    <col min="3588" max="3591" width="14.44140625" style="489" customWidth="1"/>
    <col min="3592" max="3840" width="10.109375" style="489"/>
    <col min="3841" max="3841" width="2" style="489" customWidth="1"/>
    <col min="3842" max="3842" width="4" style="489" customWidth="1"/>
    <col min="3843" max="3843" width="15.5546875" style="489" customWidth="1"/>
    <col min="3844" max="3847" width="14.44140625" style="489" customWidth="1"/>
    <col min="3848" max="4096" width="10.109375" style="489"/>
    <col min="4097" max="4097" width="2" style="489" customWidth="1"/>
    <col min="4098" max="4098" width="4" style="489" customWidth="1"/>
    <col min="4099" max="4099" width="15.5546875" style="489" customWidth="1"/>
    <col min="4100" max="4103" width="14.44140625" style="489" customWidth="1"/>
    <col min="4104" max="4352" width="10.109375" style="489"/>
    <col min="4353" max="4353" width="2" style="489" customWidth="1"/>
    <col min="4354" max="4354" width="4" style="489" customWidth="1"/>
    <col min="4355" max="4355" width="15.5546875" style="489" customWidth="1"/>
    <col min="4356" max="4359" width="14.44140625" style="489" customWidth="1"/>
    <col min="4360" max="4608" width="10.109375" style="489"/>
    <col min="4609" max="4609" width="2" style="489" customWidth="1"/>
    <col min="4610" max="4610" width="4" style="489" customWidth="1"/>
    <col min="4611" max="4611" width="15.5546875" style="489" customWidth="1"/>
    <col min="4612" max="4615" width="14.44140625" style="489" customWidth="1"/>
    <col min="4616" max="4864" width="10.109375" style="489"/>
    <col min="4865" max="4865" width="2" style="489" customWidth="1"/>
    <col min="4866" max="4866" width="4" style="489" customWidth="1"/>
    <col min="4867" max="4867" width="15.5546875" style="489" customWidth="1"/>
    <col min="4868" max="4871" width="14.44140625" style="489" customWidth="1"/>
    <col min="4872" max="5120" width="10.109375" style="489"/>
    <col min="5121" max="5121" width="2" style="489" customWidth="1"/>
    <col min="5122" max="5122" width="4" style="489" customWidth="1"/>
    <col min="5123" max="5123" width="15.5546875" style="489" customWidth="1"/>
    <col min="5124" max="5127" width="14.44140625" style="489" customWidth="1"/>
    <col min="5128" max="5376" width="10.109375" style="489"/>
    <col min="5377" max="5377" width="2" style="489" customWidth="1"/>
    <col min="5378" max="5378" width="4" style="489" customWidth="1"/>
    <col min="5379" max="5379" width="15.5546875" style="489" customWidth="1"/>
    <col min="5380" max="5383" width="14.44140625" style="489" customWidth="1"/>
    <col min="5384" max="5632" width="10.109375" style="489"/>
    <col min="5633" max="5633" width="2" style="489" customWidth="1"/>
    <col min="5634" max="5634" width="4" style="489" customWidth="1"/>
    <col min="5635" max="5635" width="15.5546875" style="489" customWidth="1"/>
    <col min="5636" max="5639" width="14.44140625" style="489" customWidth="1"/>
    <col min="5640" max="5888" width="10.109375" style="489"/>
    <col min="5889" max="5889" width="2" style="489" customWidth="1"/>
    <col min="5890" max="5890" width="4" style="489" customWidth="1"/>
    <col min="5891" max="5891" width="15.5546875" style="489" customWidth="1"/>
    <col min="5892" max="5895" width="14.44140625" style="489" customWidth="1"/>
    <col min="5896" max="6144" width="10.109375" style="489"/>
    <col min="6145" max="6145" width="2" style="489" customWidth="1"/>
    <col min="6146" max="6146" width="4" style="489" customWidth="1"/>
    <col min="6147" max="6147" width="15.5546875" style="489" customWidth="1"/>
    <col min="6148" max="6151" width="14.44140625" style="489" customWidth="1"/>
    <col min="6152" max="6400" width="10.109375" style="489"/>
    <col min="6401" max="6401" width="2" style="489" customWidth="1"/>
    <col min="6402" max="6402" width="4" style="489" customWidth="1"/>
    <col min="6403" max="6403" width="15.5546875" style="489" customWidth="1"/>
    <col min="6404" max="6407" width="14.44140625" style="489" customWidth="1"/>
    <col min="6408" max="6656" width="10.109375" style="489"/>
    <col min="6657" max="6657" width="2" style="489" customWidth="1"/>
    <col min="6658" max="6658" width="4" style="489" customWidth="1"/>
    <col min="6659" max="6659" width="15.5546875" style="489" customWidth="1"/>
    <col min="6660" max="6663" width="14.44140625" style="489" customWidth="1"/>
    <col min="6664" max="6912" width="10.109375" style="489"/>
    <col min="6913" max="6913" width="2" style="489" customWidth="1"/>
    <col min="6914" max="6914" width="4" style="489" customWidth="1"/>
    <col min="6915" max="6915" width="15.5546875" style="489" customWidth="1"/>
    <col min="6916" max="6919" width="14.44140625" style="489" customWidth="1"/>
    <col min="6920" max="7168" width="10.109375" style="489"/>
    <col min="7169" max="7169" width="2" style="489" customWidth="1"/>
    <col min="7170" max="7170" width="4" style="489" customWidth="1"/>
    <col min="7171" max="7171" width="15.5546875" style="489" customWidth="1"/>
    <col min="7172" max="7175" width="14.44140625" style="489" customWidth="1"/>
    <col min="7176" max="7424" width="10.109375" style="489"/>
    <col min="7425" max="7425" width="2" style="489" customWidth="1"/>
    <col min="7426" max="7426" width="4" style="489" customWidth="1"/>
    <col min="7427" max="7427" width="15.5546875" style="489" customWidth="1"/>
    <col min="7428" max="7431" width="14.44140625" style="489" customWidth="1"/>
    <col min="7432" max="7680" width="10.109375" style="489"/>
    <col min="7681" max="7681" width="2" style="489" customWidth="1"/>
    <col min="7682" max="7682" width="4" style="489" customWidth="1"/>
    <col min="7683" max="7683" width="15.5546875" style="489" customWidth="1"/>
    <col min="7684" max="7687" width="14.44140625" style="489" customWidth="1"/>
    <col min="7688" max="7936" width="10.109375" style="489"/>
    <col min="7937" max="7937" width="2" style="489" customWidth="1"/>
    <col min="7938" max="7938" width="4" style="489" customWidth="1"/>
    <col min="7939" max="7939" width="15.5546875" style="489" customWidth="1"/>
    <col min="7940" max="7943" width="14.44140625" style="489" customWidth="1"/>
    <col min="7944" max="8192" width="10.109375" style="489"/>
    <col min="8193" max="8193" width="2" style="489" customWidth="1"/>
    <col min="8194" max="8194" width="4" style="489" customWidth="1"/>
    <col min="8195" max="8195" width="15.5546875" style="489" customWidth="1"/>
    <col min="8196" max="8199" width="14.44140625" style="489" customWidth="1"/>
    <col min="8200" max="8448" width="10.109375" style="489"/>
    <col min="8449" max="8449" width="2" style="489" customWidth="1"/>
    <col min="8450" max="8450" width="4" style="489" customWidth="1"/>
    <col min="8451" max="8451" width="15.5546875" style="489" customWidth="1"/>
    <col min="8452" max="8455" width="14.44140625" style="489" customWidth="1"/>
    <col min="8456" max="8704" width="10.109375" style="489"/>
    <col min="8705" max="8705" width="2" style="489" customWidth="1"/>
    <col min="8706" max="8706" width="4" style="489" customWidth="1"/>
    <col min="8707" max="8707" width="15.5546875" style="489" customWidth="1"/>
    <col min="8708" max="8711" width="14.44140625" style="489" customWidth="1"/>
    <col min="8712" max="8960" width="10.109375" style="489"/>
    <col min="8961" max="8961" width="2" style="489" customWidth="1"/>
    <col min="8962" max="8962" width="4" style="489" customWidth="1"/>
    <col min="8963" max="8963" width="15.5546875" style="489" customWidth="1"/>
    <col min="8964" max="8967" width="14.44140625" style="489" customWidth="1"/>
    <col min="8968" max="9216" width="10.109375" style="489"/>
    <col min="9217" max="9217" width="2" style="489" customWidth="1"/>
    <col min="9218" max="9218" width="4" style="489" customWidth="1"/>
    <col min="9219" max="9219" width="15.5546875" style="489" customWidth="1"/>
    <col min="9220" max="9223" width="14.44140625" style="489" customWidth="1"/>
    <col min="9224" max="9472" width="10.109375" style="489"/>
    <col min="9473" max="9473" width="2" style="489" customWidth="1"/>
    <col min="9474" max="9474" width="4" style="489" customWidth="1"/>
    <col min="9475" max="9475" width="15.5546875" style="489" customWidth="1"/>
    <col min="9476" max="9479" width="14.44140625" style="489" customWidth="1"/>
    <col min="9480" max="9728" width="10.109375" style="489"/>
    <col min="9729" max="9729" width="2" style="489" customWidth="1"/>
    <col min="9730" max="9730" width="4" style="489" customWidth="1"/>
    <col min="9731" max="9731" width="15.5546875" style="489" customWidth="1"/>
    <col min="9732" max="9735" width="14.44140625" style="489" customWidth="1"/>
    <col min="9736" max="9984" width="10.109375" style="489"/>
    <col min="9985" max="9985" width="2" style="489" customWidth="1"/>
    <col min="9986" max="9986" width="4" style="489" customWidth="1"/>
    <col min="9987" max="9987" width="15.5546875" style="489" customWidth="1"/>
    <col min="9988" max="9991" width="14.44140625" style="489" customWidth="1"/>
    <col min="9992" max="10240" width="10.109375" style="489"/>
    <col min="10241" max="10241" width="2" style="489" customWidth="1"/>
    <col min="10242" max="10242" width="4" style="489" customWidth="1"/>
    <col min="10243" max="10243" width="15.5546875" style="489" customWidth="1"/>
    <col min="10244" max="10247" width="14.44140625" style="489" customWidth="1"/>
    <col min="10248" max="10496" width="10.109375" style="489"/>
    <col min="10497" max="10497" width="2" style="489" customWidth="1"/>
    <col min="10498" max="10498" width="4" style="489" customWidth="1"/>
    <col min="10499" max="10499" width="15.5546875" style="489" customWidth="1"/>
    <col min="10500" max="10503" width="14.44140625" style="489" customWidth="1"/>
    <col min="10504" max="10752" width="10.109375" style="489"/>
    <col min="10753" max="10753" width="2" style="489" customWidth="1"/>
    <col min="10754" max="10754" width="4" style="489" customWidth="1"/>
    <col min="10755" max="10755" width="15.5546875" style="489" customWidth="1"/>
    <col min="10756" max="10759" width="14.44140625" style="489" customWidth="1"/>
    <col min="10760" max="11008" width="10.109375" style="489"/>
    <col min="11009" max="11009" width="2" style="489" customWidth="1"/>
    <col min="11010" max="11010" width="4" style="489" customWidth="1"/>
    <col min="11011" max="11011" width="15.5546875" style="489" customWidth="1"/>
    <col min="11012" max="11015" width="14.44140625" style="489" customWidth="1"/>
    <col min="11016" max="11264" width="10.109375" style="489"/>
    <col min="11265" max="11265" width="2" style="489" customWidth="1"/>
    <col min="11266" max="11266" width="4" style="489" customWidth="1"/>
    <col min="11267" max="11267" width="15.5546875" style="489" customWidth="1"/>
    <col min="11268" max="11271" width="14.44140625" style="489" customWidth="1"/>
    <col min="11272" max="11520" width="10.109375" style="489"/>
    <col min="11521" max="11521" width="2" style="489" customWidth="1"/>
    <col min="11522" max="11522" width="4" style="489" customWidth="1"/>
    <col min="11523" max="11523" width="15.5546875" style="489" customWidth="1"/>
    <col min="11524" max="11527" width="14.44140625" style="489" customWidth="1"/>
    <col min="11528" max="11776" width="10.109375" style="489"/>
    <col min="11777" max="11777" width="2" style="489" customWidth="1"/>
    <col min="11778" max="11778" width="4" style="489" customWidth="1"/>
    <col min="11779" max="11779" width="15.5546875" style="489" customWidth="1"/>
    <col min="11780" max="11783" width="14.44140625" style="489" customWidth="1"/>
    <col min="11784" max="12032" width="10.109375" style="489"/>
    <col min="12033" max="12033" width="2" style="489" customWidth="1"/>
    <col min="12034" max="12034" width="4" style="489" customWidth="1"/>
    <col min="12035" max="12035" width="15.5546875" style="489" customWidth="1"/>
    <col min="12036" max="12039" width="14.44140625" style="489" customWidth="1"/>
    <col min="12040" max="12288" width="10.109375" style="489"/>
    <col min="12289" max="12289" width="2" style="489" customWidth="1"/>
    <col min="12290" max="12290" width="4" style="489" customWidth="1"/>
    <col min="12291" max="12291" width="15.5546875" style="489" customWidth="1"/>
    <col min="12292" max="12295" width="14.44140625" style="489" customWidth="1"/>
    <col min="12296" max="12544" width="10.109375" style="489"/>
    <col min="12545" max="12545" width="2" style="489" customWidth="1"/>
    <col min="12546" max="12546" width="4" style="489" customWidth="1"/>
    <col min="12547" max="12547" width="15.5546875" style="489" customWidth="1"/>
    <col min="12548" max="12551" width="14.44140625" style="489" customWidth="1"/>
    <col min="12552" max="12800" width="10.109375" style="489"/>
    <col min="12801" max="12801" width="2" style="489" customWidth="1"/>
    <col min="12802" max="12802" width="4" style="489" customWidth="1"/>
    <col min="12803" max="12803" width="15.5546875" style="489" customWidth="1"/>
    <col min="12804" max="12807" width="14.44140625" style="489" customWidth="1"/>
    <col min="12808" max="13056" width="10.109375" style="489"/>
    <col min="13057" max="13057" width="2" style="489" customWidth="1"/>
    <col min="13058" max="13058" width="4" style="489" customWidth="1"/>
    <col min="13059" max="13059" width="15.5546875" style="489" customWidth="1"/>
    <col min="13060" max="13063" width="14.44140625" style="489" customWidth="1"/>
    <col min="13064" max="13312" width="10.109375" style="489"/>
    <col min="13313" max="13313" width="2" style="489" customWidth="1"/>
    <col min="13314" max="13314" width="4" style="489" customWidth="1"/>
    <col min="13315" max="13315" width="15.5546875" style="489" customWidth="1"/>
    <col min="13316" max="13319" width="14.44140625" style="489" customWidth="1"/>
    <col min="13320" max="13568" width="10.109375" style="489"/>
    <col min="13569" max="13569" width="2" style="489" customWidth="1"/>
    <col min="13570" max="13570" width="4" style="489" customWidth="1"/>
    <col min="13571" max="13571" width="15.5546875" style="489" customWidth="1"/>
    <col min="13572" max="13575" width="14.44140625" style="489" customWidth="1"/>
    <col min="13576" max="13824" width="10.109375" style="489"/>
    <col min="13825" max="13825" width="2" style="489" customWidth="1"/>
    <col min="13826" max="13826" width="4" style="489" customWidth="1"/>
    <col min="13827" max="13827" width="15.5546875" style="489" customWidth="1"/>
    <col min="13828" max="13831" width="14.44140625" style="489" customWidth="1"/>
    <col min="13832" max="14080" width="10.109375" style="489"/>
    <col min="14081" max="14081" width="2" style="489" customWidth="1"/>
    <col min="14082" max="14082" width="4" style="489" customWidth="1"/>
    <col min="14083" max="14083" width="15.5546875" style="489" customWidth="1"/>
    <col min="14084" max="14087" width="14.44140625" style="489" customWidth="1"/>
    <col min="14088" max="14336" width="10.109375" style="489"/>
    <col min="14337" max="14337" width="2" style="489" customWidth="1"/>
    <col min="14338" max="14338" width="4" style="489" customWidth="1"/>
    <col min="14339" max="14339" width="15.5546875" style="489" customWidth="1"/>
    <col min="14340" max="14343" width="14.44140625" style="489" customWidth="1"/>
    <col min="14344" max="14592" width="10.109375" style="489"/>
    <col min="14593" max="14593" width="2" style="489" customWidth="1"/>
    <col min="14594" max="14594" width="4" style="489" customWidth="1"/>
    <col min="14595" max="14595" width="15.5546875" style="489" customWidth="1"/>
    <col min="14596" max="14599" width="14.44140625" style="489" customWidth="1"/>
    <col min="14600" max="14848" width="10.109375" style="489"/>
    <col min="14849" max="14849" width="2" style="489" customWidth="1"/>
    <col min="14850" max="14850" width="4" style="489" customWidth="1"/>
    <col min="14851" max="14851" width="15.5546875" style="489" customWidth="1"/>
    <col min="14852" max="14855" width="14.44140625" style="489" customWidth="1"/>
    <col min="14856" max="15104" width="10.109375" style="489"/>
    <col min="15105" max="15105" width="2" style="489" customWidth="1"/>
    <col min="15106" max="15106" width="4" style="489" customWidth="1"/>
    <col min="15107" max="15107" width="15.5546875" style="489" customWidth="1"/>
    <col min="15108" max="15111" width="14.44140625" style="489" customWidth="1"/>
    <col min="15112" max="15360" width="10.109375" style="489"/>
    <col min="15361" max="15361" width="2" style="489" customWidth="1"/>
    <col min="15362" max="15362" width="4" style="489" customWidth="1"/>
    <col min="15363" max="15363" width="15.5546875" style="489" customWidth="1"/>
    <col min="15364" max="15367" width="14.44140625" style="489" customWidth="1"/>
    <col min="15368" max="15616" width="10.109375" style="489"/>
    <col min="15617" max="15617" width="2" style="489" customWidth="1"/>
    <col min="15618" max="15618" width="4" style="489" customWidth="1"/>
    <col min="15619" max="15619" width="15.5546875" style="489" customWidth="1"/>
    <col min="15620" max="15623" width="14.44140625" style="489" customWidth="1"/>
    <col min="15624" max="15872" width="10.109375" style="489"/>
    <col min="15873" max="15873" width="2" style="489" customWidth="1"/>
    <col min="15874" max="15874" width="4" style="489" customWidth="1"/>
    <col min="15875" max="15875" width="15.5546875" style="489" customWidth="1"/>
    <col min="15876" max="15879" width="14.44140625" style="489" customWidth="1"/>
    <col min="15880" max="16128" width="10.109375" style="489"/>
    <col min="16129" max="16129" width="2" style="489" customWidth="1"/>
    <col min="16130" max="16130" width="4" style="489" customWidth="1"/>
    <col min="16131" max="16131" width="15.5546875" style="489" customWidth="1"/>
    <col min="16132" max="16135" width="14.44140625" style="489" customWidth="1"/>
    <col min="16136" max="16384" width="10.109375" style="489"/>
  </cols>
  <sheetData>
    <row r="1" spans="1:256">
      <c r="A1" s="586"/>
      <c r="B1" s="588" t="s">
        <v>456</v>
      </c>
      <c r="C1" s="588"/>
      <c r="D1" s="586"/>
      <c r="E1" s="586"/>
      <c r="F1" s="587"/>
      <c r="G1" s="586"/>
      <c r="H1" s="586"/>
      <c r="I1" s="586"/>
      <c r="J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  <c r="BW1" s="586"/>
      <c r="BX1" s="586"/>
      <c r="BY1" s="586"/>
      <c r="BZ1" s="586"/>
      <c r="CA1" s="586"/>
      <c r="CB1" s="586"/>
      <c r="CC1" s="586"/>
      <c r="CD1" s="586"/>
      <c r="CE1" s="586"/>
      <c r="CF1" s="586"/>
      <c r="CG1" s="586"/>
      <c r="CH1" s="586"/>
      <c r="CI1" s="586"/>
      <c r="CJ1" s="586"/>
      <c r="CK1" s="586"/>
      <c r="CL1" s="586"/>
      <c r="CM1" s="586"/>
      <c r="CN1" s="586"/>
      <c r="CO1" s="586"/>
      <c r="CP1" s="586"/>
      <c r="CQ1" s="586"/>
      <c r="CR1" s="586"/>
      <c r="CS1" s="586"/>
      <c r="CT1" s="586"/>
      <c r="CU1" s="586"/>
      <c r="CV1" s="586"/>
      <c r="CW1" s="586"/>
      <c r="CX1" s="586"/>
      <c r="CY1" s="586"/>
      <c r="CZ1" s="586"/>
      <c r="DA1" s="586"/>
      <c r="DB1" s="586"/>
      <c r="DC1" s="586"/>
      <c r="DD1" s="586"/>
      <c r="DE1" s="586"/>
      <c r="DF1" s="586"/>
      <c r="DG1" s="586"/>
      <c r="DH1" s="586"/>
      <c r="DI1" s="586"/>
      <c r="DJ1" s="586"/>
      <c r="DK1" s="586"/>
      <c r="DL1" s="586"/>
      <c r="DM1" s="586"/>
      <c r="DN1" s="586"/>
      <c r="DO1" s="586"/>
      <c r="DP1" s="586"/>
      <c r="DQ1" s="586"/>
      <c r="DR1" s="586"/>
      <c r="DS1" s="586"/>
      <c r="DT1" s="586"/>
      <c r="DU1" s="586"/>
      <c r="DV1" s="586"/>
      <c r="DW1" s="586"/>
      <c r="DX1" s="586"/>
      <c r="DY1" s="586"/>
      <c r="DZ1" s="586"/>
      <c r="EA1" s="586"/>
      <c r="EB1" s="586"/>
      <c r="EC1" s="586"/>
      <c r="ED1" s="586"/>
      <c r="EE1" s="586"/>
      <c r="EF1" s="586"/>
      <c r="EG1" s="586"/>
      <c r="EH1" s="586"/>
      <c r="EI1" s="586"/>
      <c r="EJ1" s="586"/>
      <c r="EK1" s="586"/>
      <c r="EL1" s="586"/>
      <c r="EM1" s="586"/>
      <c r="EN1" s="586"/>
      <c r="EO1" s="586"/>
      <c r="EP1" s="586"/>
      <c r="EQ1" s="586"/>
      <c r="ER1" s="586"/>
      <c r="ES1" s="586"/>
      <c r="ET1" s="586"/>
      <c r="EU1" s="586"/>
      <c r="EV1" s="586"/>
      <c r="EW1" s="586"/>
      <c r="EX1" s="586"/>
      <c r="EY1" s="586"/>
      <c r="EZ1" s="586"/>
      <c r="FA1" s="586"/>
      <c r="FB1" s="586"/>
      <c r="FC1" s="586"/>
      <c r="FD1" s="586"/>
      <c r="FE1" s="586"/>
      <c r="FF1" s="586"/>
      <c r="FG1" s="586"/>
      <c r="FH1" s="586"/>
      <c r="FI1" s="586"/>
      <c r="FJ1" s="586"/>
      <c r="FK1" s="586"/>
      <c r="FL1" s="586"/>
      <c r="FM1" s="586"/>
      <c r="FN1" s="586"/>
      <c r="FO1" s="586"/>
      <c r="FP1" s="586"/>
      <c r="FQ1" s="586"/>
      <c r="FR1" s="586"/>
      <c r="FS1" s="586"/>
      <c r="FT1" s="586"/>
      <c r="FU1" s="586"/>
      <c r="FV1" s="586"/>
      <c r="FW1" s="586"/>
      <c r="FX1" s="586"/>
      <c r="FY1" s="586"/>
      <c r="FZ1" s="586"/>
      <c r="GA1" s="586"/>
      <c r="GB1" s="586"/>
      <c r="GC1" s="586"/>
      <c r="GD1" s="586"/>
      <c r="GE1" s="586"/>
      <c r="GF1" s="586"/>
      <c r="GG1" s="586"/>
      <c r="GH1" s="586"/>
      <c r="GI1" s="586"/>
      <c r="GJ1" s="586"/>
      <c r="GK1" s="586"/>
      <c r="GL1" s="586"/>
      <c r="GM1" s="586"/>
      <c r="GN1" s="586"/>
      <c r="GO1" s="586"/>
      <c r="GP1" s="586"/>
      <c r="GQ1" s="586"/>
      <c r="GR1" s="586"/>
      <c r="GS1" s="586"/>
      <c r="GT1" s="586"/>
      <c r="GU1" s="586"/>
      <c r="GV1" s="586"/>
      <c r="GW1" s="586"/>
      <c r="GX1" s="586"/>
      <c r="GY1" s="586"/>
      <c r="GZ1" s="586"/>
      <c r="HA1" s="586"/>
      <c r="HB1" s="586"/>
      <c r="HC1" s="586"/>
      <c r="HD1" s="586"/>
      <c r="HE1" s="586"/>
      <c r="HF1" s="586"/>
      <c r="HG1" s="586"/>
      <c r="HH1" s="586"/>
      <c r="HI1" s="586"/>
      <c r="HJ1" s="586"/>
      <c r="HK1" s="586"/>
      <c r="HL1" s="586"/>
      <c r="HM1" s="586"/>
      <c r="HN1" s="586"/>
      <c r="HO1" s="586"/>
      <c r="HP1" s="586"/>
      <c r="HQ1" s="586"/>
      <c r="HR1" s="586"/>
      <c r="HS1" s="586"/>
      <c r="HT1" s="586"/>
      <c r="HU1" s="586"/>
      <c r="HV1" s="586"/>
      <c r="HW1" s="586"/>
      <c r="HX1" s="586"/>
      <c r="HY1" s="586"/>
      <c r="HZ1" s="586"/>
      <c r="IA1" s="586"/>
      <c r="IB1" s="586"/>
      <c r="IC1" s="586"/>
      <c r="ID1" s="586"/>
      <c r="IE1" s="586"/>
      <c r="IF1" s="586"/>
      <c r="IG1" s="586"/>
      <c r="IH1" s="586"/>
      <c r="II1" s="586"/>
      <c r="IJ1" s="586"/>
      <c r="IK1" s="586"/>
      <c r="IL1" s="586"/>
      <c r="IM1" s="586"/>
      <c r="IN1" s="586"/>
      <c r="IO1" s="586"/>
      <c r="IP1" s="586"/>
      <c r="IQ1" s="586"/>
      <c r="IR1" s="586"/>
      <c r="IS1" s="586"/>
      <c r="IT1" s="586"/>
      <c r="IU1" s="586"/>
      <c r="IV1" s="586"/>
    </row>
    <row r="2" spans="1:256">
      <c r="B2" s="511" t="s">
        <v>455</v>
      </c>
      <c r="C2" s="511"/>
    </row>
    <row r="3" spans="1:256">
      <c r="B3" s="585" t="s">
        <v>454</v>
      </c>
      <c r="C3" s="585"/>
      <c r="D3" s="584"/>
      <c r="E3" s="584"/>
      <c r="F3" s="584"/>
      <c r="G3" s="584"/>
      <c r="H3" s="584"/>
      <c r="I3" s="584"/>
    </row>
    <row r="4" spans="1:256">
      <c r="B4" s="511"/>
      <c r="C4" s="489" t="s">
        <v>453</v>
      </c>
    </row>
    <row r="5" spans="1:256">
      <c r="B5" s="511"/>
      <c r="C5" s="489" t="s">
        <v>452</v>
      </c>
    </row>
    <row r="6" spans="1:256">
      <c r="B6" s="569" t="s">
        <v>451</v>
      </c>
      <c r="C6" s="569"/>
      <c r="D6" s="582"/>
      <c r="E6" s="582"/>
      <c r="F6" s="582"/>
      <c r="G6" s="583"/>
      <c r="H6" s="582"/>
      <c r="I6" s="582"/>
      <c r="J6" s="582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1"/>
      <c r="BS6" s="581"/>
      <c r="BT6" s="581"/>
      <c r="BU6" s="581"/>
      <c r="BV6" s="581"/>
      <c r="BW6" s="581"/>
      <c r="BX6" s="581"/>
      <c r="BY6" s="581"/>
      <c r="BZ6" s="581"/>
      <c r="CA6" s="581"/>
      <c r="CB6" s="581"/>
      <c r="CC6" s="581"/>
      <c r="CD6" s="581"/>
      <c r="CE6" s="581"/>
      <c r="CF6" s="581"/>
      <c r="CG6" s="581"/>
      <c r="CH6" s="581"/>
      <c r="CI6" s="581"/>
      <c r="CJ6" s="581"/>
      <c r="CK6" s="581"/>
      <c r="CL6" s="581"/>
      <c r="CM6" s="581"/>
      <c r="CN6" s="581"/>
      <c r="CO6" s="581"/>
      <c r="CP6" s="581"/>
      <c r="CQ6" s="581"/>
      <c r="CR6" s="581"/>
      <c r="CS6" s="581"/>
      <c r="CT6" s="581"/>
      <c r="CU6" s="581"/>
      <c r="CV6" s="581"/>
      <c r="CW6" s="581"/>
      <c r="CX6" s="581"/>
      <c r="CY6" s="581"/>
      <c r="CZ6" s="581"/>
      <c r="DA6" s="581"/>
      <c r="DB6" s="581"/>
      <c r="DC6" s="581"/>
      <c r="DD6" s="581"/>
      <c r="DE6" s="581"/>
      <c r="DF6" s="581"/>
      <c r="DG6" s="581"/>
      <c r="DH6" s="581"/>
      <c r="DI6" s="581"/>
      <c r="DJ6" s="581"/>
      <c r="DK6" s="581"/>
      <c r="DL6" s="581"/>
      <c r="DM6" s="581"/>
      <c r="DN6" s="581"/>
      <c r="DO6" s="581"/>
      <c r="DP6" s="581"/>
      <c r="DQ6" s="581"/>
      <c r="DR6" s="581"/>
      <c r="DS6" s="581"/>
      <c r="DT6" s="581"/>
      <c r="DU6" s="581"/>
      <c r="DV6" s="581"/>
      <c r="DW6" s="581"/>
      <c r="DX6" s="581"/>
      <c r="DY6" s="581"/>
      <c r="DZ6" s="581"/>
      <c r="EA6" s="581"/>
      <c r="EB6" s="581"/>
      <c r="EC6" s="581"/>
      <c r="ED6" s="581"/>
      <c r="EE6" s="581"/>
      <c r="EF6" s="581"/>
      <c r="EG6" s="581"/>
      <c r="EH6" s="581"/>
      <c r="EI6" s="581"/>
      <c r="EJ6" s="581"/>
      <c r="EK6" s="581"/>
      <c r="EL6" s="581"/>
      <c r="EM6" s="581"/>
      <c r="EN6" s="581"/>
      <c r="EO6" s="581"/>
      <c r="EP6" s="581"/>
      <c r="EQ6" s="581"/>
      <c r="ER6" s="581"/>
      <c r="ES6" s="581"/>
      <c r="ET6" s="581"/>
      <c r="EU6" s="581"/>
      <c r="EV6" s="581"/>
      <c r="EW6" s="581"/>
      <c r="EX6" s="581"/>
      <c r="EY6" s="581"/>
      <c r="EZ6" s="581"/>
      <c r="FA6" s="581"/>
      <c r="FB6" s="581"/>
      <c r="FC6" s="581"/>
      <c r="FD6" s="581"/>
      <c r="FE6" s="581"/>
      <c r="FF6" s="581"/>
      <c r="FG6" s="581"/>
      <c r="FH6" s="581"/>
      <c r="FI6" s="581"/>
      <c r="FJ6" s="581"/>
      <c r="FK6" s="581"/>
      <c r="FL6" s="581"/>
      <c r="FM6" s="581"/>
      <c r="FN6" s="581"/>
      <c r="FO6" s="581"/>
      <c r="FP6" s="581"/>
      <c r="FQ6" s="581"/>
      <c r="FR6" s="581"/>
      <c r="FS6" s="581"/>
      <c r="FT6" s="581"/>
      <c r="FU6" s="581"/>
      <c r="FV6" s="581"/>
      <c r="FW6" s="581"/>
      <c r="FX6" s="581"/>
      <c r="FY6" s="581"/>
      <c r="FZ6" s="581"/>
      <c r="GA6" s="581"/>
      <c r="GB6" s="581"/>
      <c r="GC6" s="581"/>
      <c r="GD6" s="581"/>
      <c r="GE6" s="581"/>
      <c r="GF6" s="581"/>
      <c r="GG6" s="581"/>
      <c r="GH6" s="581"/>
      <c r="GI6" s="581"/>
      <c r="GJ6" s="581"/>
      <c r="GK6" s="581"/>
      <c r="GL6" s="581"/>
      <c r="GM6" s="581"/>
      <c r="GN6" s="581"/>
      <c r="GO6" s="581"/>
      <c r="GP6" s="581"/>
      <c r="GQ6" s="581"/>
      <c r="GR6" s="581"/>
      <c r="GS6" s="581"/>
      <c r="GT6" s="581"/>
      <c r="GU6" s="581"/>
      <c r="GV6" s="581"/>
      <c r="GW6" s="581"/>
      <c r="GX6" s="581"/>
      <c r="GY6" s="581"/>
      <c r="GZ6" s="581"/>
      <c r="HA6" s="581"/>
      <c r="HB6" s="581"/>
      <c r="HC6" s="581"/>
      <c r="HD6" s="581"/>
      <c r="HE6" s="581"/>
      <c r="HF6" s="581"/>
      <c r="HG6" s="581"/>
      <c r="HH6" s="581"/>
      <c r="HI6" s="581"/>
      <c r="HJ6" s="581"/>
      <c r="HK6" s="581"/>
      <c r="HL6" s="581"/>
      <c r="HM6" s="581"/>
      <c r="HN6" s="581"/>
      <c r="HO6" s="581"/>
      <c r="HP6" s="581"/>
      <c r="HQ6" s="581"/>
      <c r="HR6" s="581"/>
      <c r="HS6" s="581"/>
      <c r="HT6" s="581"/>
      <c r="HU6" s="581"/>
      <c r="HV6" s="581"/>
      <c r="HW6" s="581"/>
      <c r="HX6" s="581"/>
      <c r="HY6" s="581"/>
      <c r="HZ6" s="581"/>
      <c r="IA6" s="581"/>
      <c r="IB6" s="581"/>
      <c r="IC6" s="581"/>
      <c r="ID6" s="581"/>
      <c r="IE6" s="581"/>
      <c r="IF6" s="581"/>
      <c r="IG6" s="581"/>
      <c r="IH6" s="581"/>
      <c r="II6" s="581"/>
      <c r="IJ6" s="581"/>
      <c r="IK6" s="581"/>
      <c r="IL6" s="581"/>
      <c r="IM6" s="581"/>
      <c r="IN6" s="581"/>
      <c r="IO6" s="581"/>
      <c r="IP6" s="581"/>
      <c r="IQ6" s="581"/>
      <c r="IR6" s="581"/>
      <c r="IS6" s="581"/>
      <c r="IT6" s="581"/>
      <c r="IU6" s="581"/>
      <c r="IV6" s="581"/>
    </row>
    <row r="8" spans="1:256">
      <c r="D8" s="513" t="s">
        <v>450</v>
      </c>
      <c r="E8" s="513" t="s">
        <v>449</v>
      </c>
      <c r="F8" s="513"/>
      <c r="G8" s="513" t="s">
        <v>448</v>
      </c>
    </row>
    <row r="9" spans="1:256">
      <c r="D9" s="580" t="s">
        <v>447</v>
      </c>
      <c r="E9" s="580" t="s">
        <v>446</v>
      </c>
      <c r="F9" s="580" t="s">
        <v>445</v>
      </c>
      <c r="G9" s="580" t="s">
        <v>444</v>
      </c>
      <c r="H9" s="579"/>
      <c r="I9" s="579"/>
    </row>
    <row r="10" spans="1:256">
      <c r="D10" s="513"/>
      <c r="E10" s="513"/>
      <c r="F10" s="513"/>
      <c r="G10" s="578">
        <v>25</v>
      </c>
    </row>
    <row r="11" spans="1:256">
      <c r="B11" s="489" t="s">
        <v>443</v>
      </c>
      <c r="D11" s="570">
        <v>83.88</v>
      </c>
      <c r="E11" s="577">
        <f>0.6134^2</f>
        <v>0.37625955999999994</v>
      </c>
      <c r="F11" s="572">
        <v>2.37434055116584E-4</v>
      </c>
      <c r="G11" s="571">
        <f>G10^2</f>
        <v>625</v>
      </c>
    </row>
    <row r="12" spans="1:256">
      <c r="B12" s="489" t="s">
        <v>441</v>
      </c>
      <c r="D12" s="570">
        <v>24</v>
      </c>
      <c r="E12" s="570">
        <v>16</v>
      </c>
      <c r="F12" s="570">
        <v>10</v>
      </c>
      <c r="G12" s="570">
        <v>31</v>
      </c>
    </row>
    <row r="13" spans="1:256">
      <c r="B13" s="489" t="s">
        <v>440</v>
      </c>
      <c r="D13" s="489">
        <f>D12-1</f>
        <v>23</v>
      </c>
      <c r="E13" s="489">
        <f>E12-1</f>
        <v>15</v>
      </c>
      <c r="F13" s="489">
        <f>F12-1</f>
        <v>9</v>
      </c>
      <c r="G13" s="489">
        <f>G12-1</f>
        <v>30</v>
      </c>
    </row>
    <row r="15" spans="1:256">
      <c r="G15" s="576">
        <v>20</v>
      </c>
      <c r="H15" s="575">
        <f>G15/G10</f>
        <v>0.8</v>
      </c>
    </row>
    <row r="16" spans="1:256">
      <c r="B16" s="489" t="s">
        <v>442</v>
      </c>
      <c r="D16" s="574">
        <v>46.61</v>
      </c>
      <c r="E16" s="573">
        <f>0.5796^2</f>
        <v>0.33593615999999998</v>
      </c>
      <c r="F16" s="572">
        <v>8.4266486203254696E-5</v>
      </c>
      <c r="G16" s="571">
        <f>G15^2</f>
        <v>400</v>
      </c>
    </row>
    <row r="17" spans="2:9">
      <c r="B17" s="489" t="s">
        <v>441</v>
      </c>
      <c r="D17" s="570">
        <v>24</v>
      </c>
      <c r="E17" s="570">
        <v>16</v>
      </c>
      <c r="F17" s="570">
        <v>10</v>
      </c>
      <c r="G17" s="570">
        <f>G12</f>
        <v>31</v>
      </c>
    </row>
    <row r="18" spans="2:9">
      <c r="B18" s="489" t="s">
        <v>440</v>
      </c>
      <c r="D18" s="489">
        <f>D17-1</f>
        <v>23</v>
      </c>
      <c r="E18" s="489">
        <f>E17-1</f>
        <v>15</v>
      </c>
      <c r="F18" s="489">
        <f>F17-1</f>
        <v>9</v>
      </c>
      <c r="G18" s="489">
        <f>G17-1</f>
        <v>30</v>
      </c>
    </row>
    <row r="20" spans="2:9">
      <c r="B20" s="569" t="s">
        <v>439</v>
      </c>
      <c r="C20" s="569"/>
      <c r="D20" s="568">
        <f>D11/D16</f>
        <v>1.7996138167775155</v>
      </c>
      <c r="E20" s="568">
        <f>E11/E16</f>
        <v>1.1200329253034265</v>
      </c>
      <c r="F20" s="568">
        <f>F11/F16</f>
        <v>2.8176570047537286</v>
      </c>
      <c r="G20" s="568">
        <f>G11/G16</f>
        <v>1.5625</v>
      </c>
    </row>
    <row r="21" spans="2:9">
      <c r="B21" s="489" t="s">
        <v>438</v>
      </c>
      <c r="D21" s="567">
        <v>0.99</v>
      </c>
      <c r="E21" s="567">
        <v>0.9</v>
      </c>
      <c r="F21" s="567">
        <v>0.9</v>
      </c>
      <c r="G21" s="567">
        <v>0.95</v>
      </c>
    </row>
    <row r="22" spans="2:9">
      <c r="B22" s="489" t="s">
        <v>437</v>
      </c>
      <c r="D22" s="566">
        <f>1-D21</f>
        <v>1.0000000000000009E-2</v>
      </c>
      <c r="E22" s="566">
        <f>1-E21</f>
        <v>9.9999999999999978E-2</v>
      </c>
      <c r="F22" s="566">
        <f>1-F21</f>
        <v>9.9999999999999978E-2</v>
      </c>
      <c r="G22" s="566">
        <f>1-G21</f>
        <v>5.0000000000000044E-2</v>
      </c>
    </row>
    <row r="23" spans="2:9">
      <c r="B23" s="489" t="s">
        <v>436</v>
      </c>
      <c r="D23" s="565">
        <f>FINV(D22,D12-1,D17-1)</f>
        <v>2.7190675038308103</v>
      </c>
      <c r="E23" s="565">
        <f>FINV(E22,E12-1,E17-1)</f>
        <v>1.9722156217620563</v>
      </c>
      <c r="F23" s="565">
        <f>FINV(F22,F12-1,F17-1)</f>
        <v>2.4403404377094704</v>
      </c>
      <c r="G23" s="565">
        <f>FINV(G22,G12-1,G17-1)</f>
        <v>1.8408716891117582</v>
      </c>
    </row>
    <row r="24" spans="2:9">
      <c r="B24" s="489" t="s">
        <v>435</v>
      </c>
      <c r="D24" s="564" t="str">
        <f>IF(D23&lt;D20,"reject","accept")</f>
        <v>accept</v>
      </c>
      <c r="E24" s="564" t="str">
        <f>IF(E23&lt;E20,"reject","accept")</f>
        <v>accept</v>
      </c>
      <c r="F24" s="564" t="str">
        <f>IF(F23&lt;F20,"reject","accept")</f>
        <v>reject</v>
      </c>
      <c r="G24" s="564" t="str">
        <f>IF(G23&lt;G20,"reject","accept")</f>
        <v>accept</v>
      </c>
    </row>
    <row r="25" spans="2:9">
      <c r="B25" s="489" t="s">
        <v>434</v>
      </c>
      <c r="D25" s="563">
        <f>FDIST(D20,D13,D18)</f>
        <v>8.3179826445868757E-2</v>
      </c>
      <c r="E25" s="563">
        <f>FDIST(E20,E13,E18)</f>
        <v>0.41455834782360917</v>
      </c>
      <c r="F25" s="563">
        <f>FDIST(F20,F13,F18)</f>
        <v>6.9382109294502961E-2</v>
      </c>
      <c r="G25" s="563">
        <f>FDIST(G20,G13,G18)</f>
        <v>0.1136900855220639</v>
      </c>
    </row>
    <row r="26" spans="2:9">
      <c r="H26" s="560">
        <f>G10/G15</f>
        <v>1.25</v>
      </c>
      <c r="I26" s="561">
        <f>H26*G13</f>
        <v>37.5</v>
      </c>
    </row>
    <row r="27" spans="2:9">
      <c r="F27" s="489" t="s">
        <v>433</v>
      </c>
      <c r="G27" s="562">
        <f>G11/G16</f>
        <v>1.5625</v>
      </c>
      <c r="I27" s="561">
        <f>G27*G13</f>
        <v>46.875</v>
      </c>
    </row>
    <row r="28" spans="2:9">
      <c r="F28" s="489" t="s">
        <v>432</v>
      </c>
      <c r="G28" s="560">
        <f>G16/G11</f>
        <v>0.64</v>
      </c>
    </row>
    <row r="30" spans="2:9">
      <c r="G30" s="559">
        <f>_xlfn.F.DIST.RT(G27,G13,G18)</f>
        <v>0.1136900855220639</v>
      </c>
    </row>
    <row r="31" spans="2:9">
      <c r="G31" s="559">
        <f>_xlfn.F.DIST(G28,G18,G13,TRUE)</f>
        <v>0.1136900855220639</v>
      </c>
    </row>
    <row r="33" spans="7:8">
      <c r="G33" s="512">
        <f>_xlfn.F.INV(95%,39,39)</f>
        <v>1.704465067097424</v>
      </c>
      <c r="H33" s="490">
        <f>_xlfn.F.INV(95%,40,40)</f>
        <v>1.6927972097024286</v>
      </c>
    </row>
    <row r="34" spans="7:8">
      <c r="G34" s="512">
        <f>_xlfn.F.INV.RT(95%,39,39)</f>
        <v>0.58669433554477302</v>
      </c>
      <c r="H34" s="490">
        <f>_xlfn.F.INV.RT(95%,40,40)</f>
        <v>0.59073821380872127</v>
      </c>
    </row>
  </sheetData>
  <pageMargins left="1" right="1" top="0.57361111111111107" bottom="0.57361111111111107" header="0" footer="0"/>
  <pageSetup firstPageNumber="4294967295" orientation="portrait" cellComments="asDisplayed" r:id="rId1"/>
  <headerFooter alignWithMargins="0">
    <oddHeader>&amp;L&amp;C&amp;R</oddHeader>
    <oddFooter>&amp;L&amp;C&amp;R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D820-15A5-4BBE-AE9A-42681E339553}">
  <sheetPr codeName="Sheet52"/>
  <dimension ref="A1:X39"/>
  <sheetViews>
    <sheetView showGridLines="0" workbookViewId="0">
      <selection activeCell="AA24" sqref="AA24"/>
    </sheetView>
  </sheetViews>
  <sheetFormatPr defaultRowHeight="14.4"/>
  <cols>
    <col min="1" max="1" width="9.6640625" style="343" customWidth="1"/>
    <col min="2" max="2" width="8.6640625" style="343" customWidth="1"/>
    <col min="3" max="3" width="8.6640625" style="348" customWidth="1"/>
    <col min="4" max="12" width="8.6640625" style="343" customWidth="1"/>
    <col min="13" max="13" width="10.33203125" style="343" customWidth="1"/>
    <col min="14" max="23" width="8.6640625" style="343" customWidth="1"/>
    <col min="24" max="259" width="8.88671875" style="343"/>
    <col min="260" max="260" width="2.6640625" style="343" customWidth="1"/>
    <col min="261" max="261" width="6.44140625" style="343" customWidth="1"/>
    <col min="262" max="263" width="12.44140625" style="343" customWidth="1"/>
    <col min="264" max="264" width="11.33203125" style="343" bestFit="1" customWidth="1"/>
    <col min="265" max="277" width="8.88671875" style="343"/>
    <col min="278" max="278" width="12.44140625" style="343" bestFit="1" customWidth="1"/>
    <col min="279" max="515" width="8.88671875" style="343"/>
    <col min="516" max="516" width="2.6640625" style="343" customWidth="1"/>
    <col min="517" max="517" width="6.44140625" style="343" customWidth="1"/>
    <col min="518" max="519" width="12.44140625" style="343" customWidth="1"/>
    <col min="520" max="520" width="11.33203125" style="343" bestFit="1" customWidth="1"/>
    <col min="521" max="533" width="8.88671875" style="343"/>
    <col min="534" max="534" width="12.44140625" style="343" bestFit="1" customWidth="1"/>
    <col min="535" max="771" width="8.88671875" style="343"/>
    <col min="772" max="772" width="2.6640625" style="343" customWidth="1"/>
    <col min="773" max="773" width="6.44140625" style="343" customWidth="1"/>
    <col min="774" max="775" width="12.44140625" style="343" customWidth="1"/>
    <col min="776" max="776" width="11.33203125" style="343" bestFit="1" customWidth="1"/>
    <col min="777" max="789" width="8.88671875" style="343"/>
    <col min="790" max="790" width="12.44140625" style="343" bestFit="1" customWidth="1"/>
    <col min="791" max="1027" width="8.88671875" style="343"/>
    <col min="1028" max="1028" width="2.6640625" style="343" customWidth="1"/>
    <col min="1029" max="1029" width="6.44140625" style="343" customWidth="1"/>
    <col min="1030" max="1031" width="12.44140625" style="343" customWidth="1"/>
    <col min="1032" max="1032" width="11.33203125" style="343" bestFit="1" customWidth="1"/>
    <col min="1033" max="1045" width="8.88671875" style="343"/>
    <col min="1046" max="1046" width="12.44140625" style="343" bestFit="1" customWidth="1"/>
    <col min="1047" max="1283" width="8.88671875" style="343"/>
    <col min="1284" max="1284" width="2.6640625" style="343" customWidth="1"/>
    <col min="1285" max="1285" width="6.44140625" style="343" customWidth="1"/>
    <col min="1286" max="1287" width="12.44140625" style="343" customWidth="1"/>
    <col min="1288" max="1288" width="11.33203125" style="343" bestFit="1" customWidth="1"/>
    <col min="1289" max="1301" width="8.88671875" style="343"/>
    <col min="1302" max="1302" width="12.44140625" style="343" bestFit="1" customWidth="1"/>
    <col min="1303" max="1539" width="8.88671875" style="343"/>
    <col min="1540" max="1540" width="2.6640625" style="343" customWidth="1"/>
    <col min="1541" max="1541" width="6.44140625" style="343" customWidth="1"/>
    <col min="1542" max="1543" width="12.44140625" style="343" customWidth="1"/>
    <col min="1544" max="1544" width="11.33203125" style="343" bestFit="1" customWidth="1"/>
    <col min="1545" max="1557" width="8.88671875" style="343"/>
    <col min="1558" max="1558" width="12.44140625" style="343" bestFit="1" customWidth="1"/>
    <col min="1559" max="1795" width="8.88671875" style="343"/>
    <col min="1796" max="1796" width="2.6640625" style="343" customWidth="1"/>
    <col min="1797" max="1797" width="6.44140625" style="343" customWidth="1"/>
    <col min="1798" max="1799" width="12.44140625" style="343" customWidth="1"/>
    <col min="1800" max="1800" width="11.33203125" style="343" bestFit="1" customWidth="1"/>
    <col min="1801" max="1813" width="8.88671875" style="343"/>
    <col min="1814" max="1814" width="12.44140625" style="343" bestFit="1" customWidth="1"/>
    <col min="1815" max="2051" width="8.88671875" style="343"/>
    <col min="2052" max="2052" width="2.6640625" style="343" customWidth="1"/>
    <col min="2053" max="2053" width="6.44140625" style="343" customWidth="1"/>
    <col min="2054" max="2055" width="12.44140625" style="343" customWidth="1"/>
    <col min="2056" max="2056" width="11.33203125" style="343" bestFit="1" customWidth="1"/>
    <col min="2057" max="2069" width="8.88671875" style="343"/>
    <col min="2070" max="2070" width="12.44140625" style="343" bestFit="1" customWidth="1"/>
    <col min="2071" max="2307" width="8.88671875" style="343"/>
    <col min="2308" max="2308" width="2.6640625" style="343" customWidth="1"/>
    <col min="2309" max="2309" width="6.44140625" style="343" customWidth="1"/>
    <col min="2310" max="2311" width="12.44140625" style="343" customWidth="1"/>
    <col min="2312" max="2312" width="11.33203125" style="343" bestFit="1" customWidth="1"/>
    <col min="2313" max="2325" width="8.88671875" style="343"/>
    <col min="2326" max="2326" width="12.44140625" style="343" bestFit="1" customWidth="1"/>
    <col min="2327" max="2563" width="8.88671875" style="343"/>
    <col min="2564" max="2564" width="2.6640625" style="343" customWidth="1"/>
    <col min="2565" max="2565" width="6.44140625" style="343" customWidth="1"/>
    <col min="2566" max="2567" width="12.44140625" style="343" customWidth="1"/>
    <col min="2568" max="2568" width="11.33203125" style="343" bestFit="1" customWidth="1"/>
    <col min="2569" max="2581" width="8.88671875" style="343"/>
    <col min="2582" max="2582" width="12.44140625" style="343" bestFit="1" customWidth="1"/>
    <col min="2583" max="2819" width="8.88671875" style="343"/>
    <col min="2820" max="2820" width="2.6640625" style="343" customWidth="1"/>
    <col min="2821" max="2821" width="6.44140625" style="343" customWidth="1"/>
    <col min="2822" max="2823" width="12.44140625" style="343" customWidth="1"/>
    <col min="2824" max="2824" width="11.33203125" style="343" bestFit="1" customWidth="1"/>
    <col min="2825" max="2837" width="8.88671875" style="343"/>
    <col min="2838" max="2838" width="12.44140625" style="343" bestFit="1" customWidth="1"/>
    <col min="2839" max="3075" width="8.88671875" style="343"/>
    <col min="3076" max="3076" width="2.6640625" style="343" customWidth="1"/>
    <col min="3077" max="3077" width="6.44140625" style="343" customWidth="1"/>
    <col min="3078" max="3079" width="12.44140625" style="343" customWidth="1"/>
    <col min="3080" max="3080" width="11.33203125" style="343" bestFit="1" customWidth="1"/>
    <col min="3081" max="3093" width="8.88671875" style="343"/>
    <col min="3094" max="3094" width="12.44140625" style="343" bestFit="1" customWidth="1"/>
    <col min="3095" max="3331" width="8.88671875" style="343"/>
    <col min="3332" max="3332" width="2.6640625" style="343" customWidth="1"/>
    <col min="3333" max="3333" width="6.44140625" style="343" customWidth="1"/>
    <col min="3334" max="3335" width="12.44140625" style="343" customWidth="1"/>
    <col min="3336" max="3336" width="11.33203125" style="343" bestFit="1" customWidth="1"/>
    <col min="3337" max="3349" width="8.88671875" style="343"/>
    <col min="3350" max="3350" width="12.44140625" style="343" bestFit="1" customWidth="1"/>
    <col min="3351" max="3587" width="8.88671875" style="343"/>
    <col min="3588" max="3588" width="2.6640625" style="343" customWidth="1"/>
    <col min="3589" max="3589" width="6.44140625" style="343" customWidth="1"/>
    <col min="3590" max="3591" width="12.44140625" style="343" customWidth="1"/>
    <col min="3592" max="3592" width="11.33203125" style="343" bestFit="1" customWidth="1"/>
    <col min="3593" max="3605" width="8.88671875" style="343"/>
    <col min="3606" max="3606" width="12.44140625" style="343" bestFit="1" customWidth="1"/>
    <col min="3607" max="3843" width="8.88671875" style="343"/>
    <col min="3844" max="3844" width="2.6640625" style="343" customWidth="1"/>
    <col min="3845" max="3845" width="6.44140625" style="343" customWidth="1"/>
    <col min="3846" max="3847" width="12.44140625" style="343" customWidth="1"/>
    <col min="3848" max="3848" width="11.33203125" style="343" bestFit="1" customWidth="1"/>
    <col min="3849" max="3861" width="8.88671875" style="343"/>
    <col min="3862" max="3862" width="12.44140625" style="343" bestFit="1" customWidth="1"/>
    <col min="3863" max="4099" width="8.88671875" style="343"/>
    <col min="4100" max="4100" width="2.6640625" style="343" customWidth="1"/>
    <col min="4101" max="4101" width="6.44140625" style="343" customWidth="1"/>
    <col min="4102" max="4103" width="12.44140625" style="343" customWidth="1"/>
    <col min="4104" max="4104" width="11.33203125" style="343" bestFit="1" customWidth="1"/>
    <col min="4105" max="4117" width="8.88671875" style="343"/>
    <col min="4118" max="4118" width="12.44140625" style="343" bestFit="1" customWidth="1"/>
    <col min="4119" max="4355" width="8.88671875" style="343"/>
    <col min="4356" max="4356" width="2.6640625" style="343" customWidth="1"/>
    <col min="4357" max="4357" width="6.44140625" style="343" customWidth="1"/>
    <col min="4358" max="4359" width="12.44140625" style="343" customWidth="1"/>
    <col min="4360" max="4360" width="11.33203125" style="343" bestFit="1" customWidth="1"/>
    <col min="4361" max="4373" width="8.88671875" style="343"/>
    <col min="4374" max="4374" width="12.44140625" style="343" bestFit="1" customWidth="1"/>
    <col min="4375" max="4611" width="8.88671875" style="343"/>
    <col min="4612" max="4612" width="2.6640625" style="343" customWidth="1"/>
    <col min="4613" max="4613" width="6.44140625" style="343" customWidth="1"/>
    <col min="4614" max="4615" width="12.44140625" style="343" customWidth="1"/>
    <col min="4616" max="4616" width="11.33203125" style="343" bestFit="1" customWidth="1"/>
    <col min="4617" max="4629" width="8.88671875" style="343"/>
    <col min="4630" max="4630" width="12.44140625" style="343" bestFit="1" customWidth="1"/>
    <col min="4631" max="4867" width="8.88671875" style="343"/>
    <col min="4868" max="4868" width="2.6640625" style="343" customWidth="1"/>
    <col min="4869" max="4869" width="6.44140625" style="343" customWidth="1"/>
    <col min="4870" max="4871" width="12.44140625" style="343" customWidth="1"/>
    <col min="4872" max="4872" width="11.33203125" style="343" bestFit="1" customWidth="1"/>
    <col min="4873" max="4885" width="8.88671875" style="343"/>
    <col min="4886" max="4886" width="12.44140625" style="343" bestFit="1" customWidth="1"/>
    <col min="4887" max="5123" width="8.88671875" style="343"/>
    <col min="5124" max="5124" width="2.6640625" style="343" customWidth="1"/>
    <col min="5125" max="5125" width="6.44140625" style="343" customWidth="1"/>
    <col min="5126" max="5127" width="12.44140625" style="343" customWidth="1"/>
    <col min="5128" max="5128" width="11.33203125" style="343" bestFit="1" customWidth="1"/>
    <col min="5129" max="5141" width="8.88671875" style="343"/>
    <col min="5142" max="5142" width="12.44140625" style="343" bestFit="1" customWidth="1"/>
    <col min="5143" max="5379" width="8.88671875" style="343"/>
    <col min="5380" max="5380" width="2.6640625" style="343" customWidth="1"/>
    <col min="5381" max="5381" width="6.44140625" style="343" customWidth="1"/>
    <col min="5382" max="5383" width="12.44140625" style="343" customWidth="1"/>
    <col min="5384" max="5384" width="11.33203125" style="343" bestFit="1" customWidth="1"/>
    <col min="5385" max="5397" width="8.88671875" style="343"/>
    <col min="5398" max="5398" width="12.44140625" style="343" bestFit="1" customWidth="1"/>
    <col min="5399" max="5635" width="8.88671875" style="343"/>
    <col min="5636" max="5636" width="2.6640625" style="343" customWidth="1"/>
    <col min="5637" max="5637" width="6.44140625" style="343" customWidth="1"/>
    <col min="5638" max="5639" width="12.44140625" style="343" customWidth="1"/>
    <col min="5640" max="5640" width="11.33203125" style="343" bestFit="1" customWidth="1"/>
    <col min="5641" max="5653" width="8.88671875" style="343"/>
    <col min="5654" max="5654" width="12.44140625" style="343" bestFit="1" customWidth="1"/>
    <col min="5655" max="5891" width="8.88671875" style="343"/>
    <col min="5892" max="5892" width="2.6640625" style="343" customWidth="1"/>
    <col min="5893" max="5893" width="6.44140625" style="343" customWidth="1"/>
    <col min="5894" max="5895" width="12.44140625" style="343" customWidth="1"/>
    <col min="5896" max="5896" width="11.33203125" style="343" bestFit="1" customWidth="1"/>
    <col min="5897" max="5909" width="8.88671875" style="343"/>
    <col min="5910" max="5910" width="12.44140625" style="343" bestFit="1" customWidth="1"/>
    <col min="5911" max="6147" width="8.88671875" style="343"/>
    <col min="6148" max="6148" width="2.6640625" style="343" customWidth="1"/>
    <col min="6149" max="6149" width="6.44140625" style="343" customWidth="1"/>
    <col min="6150" max="6151" width="12.44140625" style="343" customWidth="1"/>
    <col min="6152" max="6152" width="11.33203125" style="343" bestFit="1" customWidth="1"/>
    <col min="6153" max="6165" width="8.88671875" style="343"/>
    <col min="6166" max="6166" width="12.44140625" style="343" bestFit="1" customWidth="1"/>
    <col min="6167" max="6403" width="8.88671875" style="343"/>
    <col min="6404" max="6404" width="2.6640625" style="343" customWidth="1"/>
    <col min="6405" max="6405" width="6.44140625" style="343" customWidth="1"/>
    <col min="6406" max="6407" width="12.44140625" style="343" customWidth="1"/>
    <col min="6408" max="6408" width="11.33203125" style="343" bestFit="1" customWidth="1"/>
    <col min="6409" max="6421" width="8.88671875" style="343"/>
    <col min="6422" max="6422" width="12.44140625" style="343" bestFit="1" customWidth="1"/>
    <col min="6423" max="6659" width="8.88671875" style="343"/>
    <col min="6660" max="6660" width="2.6640625" style="343" customWidth="1"/>
    <col min="6661" max="6661" width="6.44140625" style="343" customWidth="1"/>
    <col min="6662" max="6663" width="12.44140625" style="343" customWidth="1"/>
    <col min="6664" max="6664" width="11.33203125" style="343" bestFit="1" customWidth="1"/>
    <col min="6665" max="6677" width="8.88671875" style="343"/>
    <col min="6678" max="6678" width="12.44140625" style="343" bestFit="1" customWidth="1"/>
    <col min="6679" max="6915" width="8.88671875" style="343"/>
    <col min="6916" max="6916" width="2.6640625" style="343" customWidth="1"/>
    <col min="6917" max="6917" width="6.44140625" style="343" customWidth="1"/>
    <col min="6918" max="6919" width="12.44140625" style="343" customWidth="1"/>
    <col min="6920" max="6920" width="11.33203125" style="343" bestFit="1" customWidth="1"/>
    <col min="6921" max="6933" width="8.88671875" style="343"/>
    <col min="6934" max="6934" width="12.44140625" style="343" bestFit="1" customWidth="1"/>
    <col min="6935" max="7171" width="8.88671875" style="343"/>
    <col min="7172" max="7172" width="2.6640625" style="343" customWidth="1"/>
    <col min="7173" max="7173" width="6.44140625" style="343" customWidth="1"/>
    <col min="7174" max="7175" width="12.44140625" style="343" customWidth="1"/>
    <col min="7176" max="7176" width="11.33203125" style="343" bestFit="1" customWidth="1"/>
    <col min="7177" max="7189" width="8.88671875" style="343"/>
    <col min="7190" max="7190" width="12.44140625" style="343" bestFit="1" customWidth="1"/>
    <col min="7191" max="7427" width="8.88671875" style="343"/>
    <col min="7428" max="7428" width="2.6640625" style="343" customWidth="1"/>
    <col min="7429" max="7429" width="6.44140625" style="343" customWidth="1"/>
    <col min="7430" max="7431" width="12.44140625" style="343" customWidth="1"/>
    <col min="7432" max="7432" width="11.33203125" style="343" bestFit="1" customWidth="1"/>
    <col min="7433" max="7445" width="8.88671875" style="343"/>
    <col min="7446" max="7446" width="12.44140625" style="343" bestFit="1" customWidth="1"/>
    <col min="7447" max="7683" width="8.88671875" style="343"/>
    <col min="7684" max="7684" width="2.6640625" style="343" customWidth="1"/>
    <col min="7685" max="7685" width="6.44140625" style="343" customWidth="1"/>
    <col min="7686" max="7687" width="12.44140625" style="343" customWidth="1"/>
    <col min="7688" max="7688" width="11.33203125" style="343" bestFit="1" customWidth="1"/>
    <col min="7689" max="7701" width="8.88671875" style="343"/>
    <col min="7702" max="7702" width="12.44140625" style="343" bestFit="1" customWidth="1"/>
    <col min="7703" max="7939" width="8.88671875" style="343"/>
    <col min="7940" max="7940" width="2.6640625" style="343" customWidth="1"/>
    <col min="7941" max="7941" width="6.44140625" style="343" customWidth="1"/>
    <col min="7942" max="7943" width="12.44140625" style="343" customWidth="1"/>
    <col min="7944" max="7944" width="11.33203125" style="343" bestFit="1" customWidth="1"/>
    <col min="7945" max="7957" width="8.88671875" style="343"/>
    <col min="7958" max="7958" width="12.44140625" style="343" bestFit="1" customWidth="1"/>
    <col min="7959" max="8195" width="8.88671875" style="343"/>
    <col min="8196" max="8196" width="2.6640625" style="343" customWidth="1"/>
    <col min="8197" max="8197" width="6.44140625" style="343" customWidth="1"/>
    <col min="8198" max="8199" width="12.44140625" style="343" customWidth="1"/>
    <col min="8200" max="8200" width="11.33203125" style="343" bestFit="1" customWidth="1"/>
    <col min="8201" max="8213" width="8.88671875" style="343"/>
    <col min="8214" max="8214" width="12.44140625" style="343" bestFit="1" customWidth="1"/>
    <col min="8215" max="8451" width="8.88671875" style="343"/>
    <col min="8452" max="8452" width="2.6640625" style="343" customWidth="1"/>
    <col min="8453" max="8453" width="6.44140625" style="343" customWidth="1"/>
    <col min="8454" max="8455" width="12.44140625" style="343" customWidth="1"/>
    <col min="8456" max="8456" width="11.33203125" style="343" bestFit="1" customWidth="1"/>
    <col min="8457" max="8469" width="8.88671875" style="343"/>
    <col min="8470" max="8470" width="12.44140625" style="343" bestFit="1" customWidth="1"/>
    <col min="8471" max="8707" width="8.88671875" style="343"/>
    <col min="8708" max="8708" width="2.6640625" style="343" customWidth="1"/>
    <col min="8709" max="8709" width="6.44140625" style="343" customWidth="1"/>
    <col min="8710" max="8711" width="12.44140625" style="343" customWidth="1"/>
    <col min="8712" max="8712" width="11.33203125" style="343" bestFit="1" customWidth="1"/>
    <col min="8713" max="8725" width="8.88671875" style="343"/>
    <col min="8726" max="8726" width="12.44140625" style="343" bestFit="1" customWidth="1"/>
    <col min="8727" max="8963" width="8.88671875" style="343"/>
    <col min="8964" max="8964" width="2.6640625" style="343" customWidth="1"/>
    <col min="8965" max="8965" width="6.44140625" style="343" customWidth="1"/>
    <col min="8966" max="8967" width="12.44140625" style="343" customWidth="1"/>
    <col min="8968" max="8968" width="11.33203125" style="343" bestFit="1" customWidth="1"/>
    <col min="8969" max="8981" width="8.88671875" style="343"/>
    <col min="8982" max="8982" width="12.44140625" style="343" bestFit="1" customWidth="1"/>
    <col min="8983" max="9219" width="8.88671875" style="343"/>
    <col min="9220" max="9220" width="2.6640625" style="343" customWidth="1"/>
    <col min="9221" max="9221" width="6.44140625" style="343" customWidth="1"/>
    <col min="9222" max="9223" width="12.44140625" style="343" customWidth="1"/>
    <col min="9224" max="9224" width="11.33203125" style="343" bestFit="1" customWidth="1"/>
    <col min="9225" max="9237" width="8.88671875" style="343"/>
    <col min="9238" max="9238" width="12.44140625" style="343" bestFit="1" customWidth="1"/>
    <col min="9239" max="9475" width="8.88671875" style="343"/>
    <col min="9476" max="9476" width="2.6640625" style="343" customWidth="1"/>
    <col min="9477" max="9477" width="6.44140625" style="343" customWidth="1"/>
    <col min="9478" max="9479" width="12.44140625" style="343" customWidth="1"/>
    <col min="9480" max="9480" width="11.33203125" style="343" bestFit="1" customWidth="1"/>
    <col min="9481" max="9493" width="8.88671875" style="343"/>
    <col min="9494" max="9494" width="12.44140625" style="343" bestFit="1" customWidth="1"/>
    <col min="9495" max="9731" width="8.88671875" style="343"/>
    <col min="9732" max="9732" width="2.6640625" style="343" customWidth="1"/>
    <col min="9733" max="9733" width="6.44140625" style="343" customWidth="1"/>
    <col min="9734" max="9735" width="12.44140625" style="343" customWidth="1"/>
    <col min="9736" max="9736" width="11.33203125" style="343" bestFit="1" customWidth="1"/>
    <col min="9737" max="9749" width="8.88671875" style="343"/>
    <col min="9750" max="9750" width="12.44140625" style="343" bestFit="1" customWidth="1"/>
    <col min="9751" max="9987" width="8.88671875" style="343"/>
    <col min="9988" max="9988" width="2.6640625" style="343" customWidth="1"/>
    <col min="9989" max="9989" width="6.44140625" style="343" customWidth="1"/>
    <col min="9990" max="9991" width="12.44140625" style="343" customWidth="1"/>
    <col min="9992" max="9992" width="11.33203125" style="343" bestFit="1" customWidth="1"/>
    <col min="9993" max="10005" width="8.88671875" style="343"/>
    <col min="10006" max="10006" width="12.44140625" style="343" bestFit="1" customWidth="1"/>
    <col min="10007" max="10243" width="8.88671875" style="343"/>
    <col min="10244" max="10244" width="2.6640625" style="343" customWidth="1"/>
    <col min="10245" max="10245" width="6.44140625" style="343" customWidth="1"/>
    <col min="10246" max="10247" width="12.44140625" style="343" customWidth="1"/>
    <col min="10248" max="10248" width="11.33203125" style="343" bestFit="1" customWidth="1"/>
    <col min="10249" max="10261" width="8.88671875" style="343"/>
    <col min="10262" max="10262" width="12.44140625" style="343" bestFit="1" customWidth="1"/>
    <col min="10263" max="10499" width="8.88671875" style="343"/>
    <col min="10500" max="10500" width="2.6640625" style="343" customWidth="1"/>
    <col min="10501" max="10501" width="6.44140625" style="343" customWidth="1"/>
    <col min="10502" max="10503" width="12.44140625" style="343" customWidth="1"/>
    <col min="10504" max="10504" width="11.33203125" style="343" bestFit="1" customWidth="1"/>
    <col min="10505" max="10517" width="8.88671875" style="343"/>
    <col min="10518" max="10518" width="12.44140625" style="343" bestFit="1" customWidth="1"/>
    <col min="10519" max="10755" width="8.88671875" style="343"/>
    <col min="10756" max="10756" width="2.6640625" style="343" customWidth="1"/>
    <col min="10757" max="10757" width="6.44140625" style="343" customWidth="1"/>
    <col min="10758" max="10759" width="12.44140625" style="343" customWidth="1"/>
    <col min="10760" max="10760" width="11.33203125" style="343" bestFit="1" customWidth="1"/>
    <col min="10761" max="10773" width="8.88671875" style="343"/>
    <col min="10774" max="10774" width="12.44140625" style="343" bestFit="1" customWidth="1"/>
    <col min="10775" max="11011" width="8.88671875" style="343"/>
    <col min="11012" max="11012" width="2.6640625" style="343" customWidth="1"/>
    <col min="11013" max="11013" width="6.44140625" style="343" customWidth="1"/>
    <col min="11014" max="11015" width="12.44140625" style="343" customWidth="1"/>
    <col min="11016" max="11016" width="11.33203125" style="343" bestFit="1" customWidth="1"/>
    <col min="11017" max="11029" width="8.88671875" style="343"/>
    <col min="11030" max="11030" width="12.44140625" style="343" bestFit="1" customWidth="1"/>
    <col min="11031" max="11267" width="8.88671875" style="343"/>
    <col min="11268" max="11268" width="2.6640625" style="343" customWidth="1"/>
    <col min="11269" max="11269" width="6.44140625" style="343" customWidth="1"/>
    <col min="11270" max="11271" width="12.44140625" style="343" customWidth="1"/>
    <col min="11272" max="11272" width="11.33203125" style="343" bestFit="1" customWidth="1"/>
    <col min="11273" max="11285" width="8.88671875" style="343"/>
    <col min="11286" max="11286" width="12.44140625" style="343" bestFit="1" customWidth="1"/>
    <col min="11287" max="11523" width="8.88671875" style="343"/>
    <col min="11524" max="11524" width="2.6640625" style="343" customWidth="1"/>
    <col min="11525" max="11525" width="6.44140625" style="343" customWidth="1"/>
    <col min="11526" max="11527" width="12.44140625" style="343" customWidth="1"/>
    <col min="11528" max="11528" width="11.33203125" style="343" bestFit="1" customWidth="1"/>
    <col min="11529" max="11541" width="8.88671875" style="343"/>
    <col min="11542" max="11542" width="12.44140625" style="343" bestFit="1" customWidth="1"/>
    <col min="11543" max="11779" width="8.88671875" style="343"/>
    <col min="11780" max="11780" width="2.6640625" style="343" customWidth="1"/>
    <col min="11781" max="11781" width="6.44140625" style="343" customWidth="1"/>
    <col min="11782" max="11783" width="12.44140625" style="343" customWidth="1"/>
    <col min="11784" max="11784" width="11.33203125" style="343" bestFit="1" customWidth="1"/>
    <col min="11785" max="11797" width="8.88671875" style="343"/>
    <col min="11798" max="11798" width="12.44140625" style="343" bestFit="1" customWidth="1"/>
    <col min="11799" max="12035" width="8.88671875" style="343"/>
    <col min="12036" max="12036" width="2.6640625" style="343" customWidth="1"/>
    <col min="12037" max="12037" width="6.44140625" style="343" customWidth="1"/>
    <col min="12038" max="12039" width="12.44140625" style="343" customWidth="1"/>
    <col min="12040" max="12040" width="11.33203125" style="343" bestFit="1" customWidth="1"/>
    <col min="12041" max="12053" width="8.88671875" style="343"/>
    <col min="12054" max="12054" width="12.44140625" style="343" bestFit="1" customWidth="1"/>
    <col min="12055" max="12291" width="8.88671875" style="343"/>
    <col min="12292" max="12292" width="2.6640625" style="343" customWidth="1"/>
    <col min="12293" max="12293" width="6.44140625" style="343" customWidth="1"/>
    <col min="12294" max="12295" width="12.44140625" style="343" customWidth="1"/>
    <col min="12296" max="12296" width="11.33203125" style="343" bestFit="1" customWidth="1"/>
    <col min="12297" max="12309" width="8.88671875" style="343"/>
    <col min="12310" max="12310" width="12.44140625" style="343" bestFit="1" customWidth="1"/>
    <col min="12311" max="12547" width="8.88671875" style="343"/>
    <col min="12548" max="12548" width="2.6640625" style="343" customWidth="1"/>
    <col min="12549" max="12549" width="6.44140625" style="343" customWidth="1"/>
    <col min="12550" max="12551" width="12.44140625" style="343" customWidth="1"/>
    <col min="12552" max="12552" width="11.33203125" style="343" bestFit="1" customWidth="1"/>
    <col min="12553" max="12565" width="8.88671875" style="343"/>
    <col min="12566" max="12566" width="12.44140625" style="343" bestFit="1" customWidth="1"/>
    <col min="12567" max="12803" width="8.88671875" style="343"/>
    <col min="12804" max="12804" width="2.6640625" style="343" customWidth="1"/>
    <col min="12805" max="12805" width="6.44140625" style="343" customWidth="1"/>
    <col min="12806" max="12807" width="12.44140625" style="343" customWidth="1"/>
    <col min="12808" max="12808" width="11.33203125" style="343" bestFit="1" customWidth="1"/>
    <col min="12809" max="12821" width="8.88671875" style="343"/>
    <col min="12822" max="12822" width="12.44140625" style="343" bestFit="1" customWidth="1"/>
    <col min="12823" max="13059" width="8.88671875" style="343"/>
    <col min="13060" max="13060" width="2.6640625" style="343" customWidth="1"/>
    <col min="13061" max="13061" width="6.44140625" style="343" customWidth="1"/>
    <col min="13062" max="13063" width="12.44140625" style="343" customWidth="1"/>
    <col min="13064" max="13064" width="11.33203125" style="343" bestFit="1" customWidth="1"/>
    <col min="13065" max="13077" width="8.88671875" style="343"/>
    <col min="13078" max="13078" width="12.44140625" style="343" bestFit="1" customWidth="1"/>
    <col min="13079" max="13315" width="8.88671875" style="343"/>
    <col min="13316" max="13316" width="2.6640625" style="343" customWidth="1"/>
    <col min="13317" max="13317" width="6.44140625" style="343" customWidth="1"/>
    <col min="13318" max="13319" width="12.44140625" style="343" customWidth="1"/>
    <col min="13320" max="13320" width="11.33203125" style="343" bestFit="1" customWidth="1"/>
    <col min="13321" max="13333" width="8.88671875" style="343"/>
    <col min="13334" max="13334" width="12.44140625" style="343" bestFit="1" customWidth="1"/>
    <col min="13335" max="13571" width="8.88671875" style="343"/>
    <col min="13572" max="13572" width="2.6640625" style="343" customWidth="1"/>
    <col min="13573" max="13573" width="6.44140625" style="343" customWidth="1"/>
    <col min="13574" max="13575" width="12.44140625" style="343" customWidth="1"/>
    <col min="13576" max="13576" width="11.33203125" style="343" bestFit="1" customWidth="1"/>
    <col min="13577" max="13589" width="8.88671875" style="343"/>
    <col min="13590" max="13590" width="12.44140625" style="343" bestFit="1" customWidth="1"/>
    <col min="13591" max="13827" width="8.88671875" style="343"/>
    <col min="13828" max="13828" width="2.6640625" style="343" customWidth="1"/>
    <col min="13829" max="13829" width="6.44140625" style="343" customWidth="1"/>
    <col min="13830" max="13831" width="12.44140625" style="343" customWidth="1"/>
    <col min="13832" max="13832" width="11.33203125" style="343" bestFit="1" customWidth="1"/>
    <col min="13833" max="13845" width="8.88671875" style="343"/>
    <col min="13846" max="13846" width="12.44140625" style="343" bestFit="1" customWidth="1"/>
    <col min="13847" max="14083" width="8.88671875" style="343"/>
    <col min="14084" max="14084" width="2.6640625" style="343" customWidth="1"/>
    <col min="14085" max="14085" width="6.44140625" style="343" customWidth="1"/>
    <col min="14086" max="14087" width="12.44140625" style="343" customWidth="1"/>
    <col min="14088" max="14088" width="11.33203125" style="343" bestFit="1" customWidth="1"/>
    <col min="14089" max="14101" width="8.88671875" style="343"/>
    <col min="14102" max="14102" width="12.44140625" style="343" bestFit="1" customWidth="1"/>
    <col min="14103" max="14339" width="8.88671875" style="343"/>
    <col min="14340" max="14340" width="2.6640625" style="343" customWidth="1"/>
    <col min="14341" max="14341" width="6.44140625" style="343" customWidth="1"/>
    <col min="14342" max="14343" width="12.44140625" style="343" customWidth="1"/>
    <col min="14344" max="14344" width="11.33203125" style="343" bestFit="1" customWidth="1"/>
    <col min="14345" max="14357" width="8.88671875" style="343"/>
    <col min="14358" max="14358" width="12.44140625" style="343" bestFit="1" customWidth="1"/>
    <col min="14359" max="14595" width="8.88671875" style="343"/>
    <col min="14596" max="14596" width="2.6640625" style="343" customWidth="1"/>
    <col min="14597" max="14597" width="6.44140625" style="343" customWidth="1"/>
    <col min="14598" max="14599" width="12.44140625" style="343" customWidth="1"/>
    <col min="14600" max="14600" width="11.33203125" style="343" bestFit="1" customWidth="1"/>
    <col min="14601" max="14613" width="8.88671875" style="343"/>
    <col min="14614" max="14614" width="12.44140625" style="343" bestFit="1" customWidth="1"/>
    <col min="14615" max="14851" width="8.88671875" style="343"/>
    <col min="14852" max="14852" width="2.6640625" style="343" customWidth="1"/>
    <col min="14853" max="14853" width="6.44140625" style="343" customWidth="1"/>
    <col min="14854" max="14855" width="12.44140625" style="343" customWidth="1"/>
    <col min="14856" max="14856" width="11.33203125" style="343" bestFit="1" customWidth="1"/>
    <col min="14857" max="14869" width="8.88671875" style="343"/>
    <col min="14870" max="14870" width="12.44140625" style="343" bestFit="1" customWidth="1"/>
    <col min="14871" max="15107" width="8.88671875" style="343"/>
    <col min="15108" max="15108" width="2.6640625" style="343" customWidth="1"/>
    <col min="15109" max="15109" width="6.44140625" style="343" customWidth="1"/>
    <col min="15110" max="15111" width="12.44140625" style="343" customWidth="1"/>
    <col min="15112" max="15112" width="11.33203125" style="343" bestFit="1" customWidth="1"/>
    <col min="15113" max="15125" width="8.88671875" style="343"/>
    <col min="15126" max="15126" width="12.44140625" style="343" bestFit="1" customWidth="1"/>
    <col min="15127" max="15363" width="8.88671875" style="343"/>
    <col min="15364" max="15364" width="2.6640625" style="343" customWidth="1"/>
    <col min="15365" max="15365" width="6.44140625" style="343" customWidth="1"/>
    <col min="15366" max="15367" width="12.44140625" style="343" customWidth="1"/>
    <col min="15368" max="15368" width="11.33203125" style="343" bestFit="1" customWidth="1"/>
    <col min="15369" max="15381" width="8.88671875" style="343"/>
    <col min="15382" max="15382" width="12.44140625" style="343" bestFit="1" customWidth="1"/>
    <col min="15383" max="15619" width="8.88671875" style="343"/>
    <col min="15620" max="15620" width="2.6640625" style="343" customWidth="1"/>
    <col min="15621" max="15621" width="6.44140625" style="343" customWidth="1"/>
    <col min="15622" max="15623" width="12.44140625" style="343" customWidth="1"/>
    <col min="15624" max="15624" width="11.33203125" style="343" bestFit="1" customWidth="1"/>
    <col min="15625" max="15637" width="8.88671875" style="343"/>
    <col min="15638" max="15638" width="12.44140625" style="343" bestFit="1" customWidth="1"/>
    <col min="15639" max="15875" width="8.88671875" style="343"/>
    <col min="15876" max="15876" width="2.6640625" style="343" customWidth="1"/>
    <col min="15877" max="15877" width="6.44140625" style="343" customWidth="1"/>
    <col min="15878" max="15879" width="12.44140625" style="343" customWidth="1"/>
    <col min="15880" max="15880" width="11.33203125" style="343" bestFit="1" customWidth="1"/>
    <col min="15881" max="15893" width="8.88671875" style="343"/>
    <col min="15894" max="15894" width="12.44140625" style="343" bestFit="1" customWidth="1"/>
    <col min="15895" max="16131" width="8.88671875" style="343"/>
    <col min="16132" max="16132" width="2.6640625" style="343" customWidth="1"/>
    <col min="16133" max="16133" width="6.44140625" style="343" customWidth="1"/>
    <col min="16134" max="16135" width="12.44140625" style="343" customWidth="1"/>
    <col min="16136" max="16136" width="11.33203125" style="343" bestFit="1" customWidth="1"/>
    <col min="16137" max="16149" width="8.88671875" style="343"/>
    <col min="16150" max="16150" width="12.44140625" style="343" bestFit="1" customWidth="1"/>
    <col min="16151" max="16384" width="8.88671875" style="343"/>
  </cols>
  <sheetData>
    <row r="1" spans="1:20" s="557" customFormat="1">
      <c r="A1" s="558" t="s">
        <v>431</v>
      </c>
    </row>
    <row r="2" spans="1:20" s="557" customFormat="1"/>
    <row r="3" spans="1:20" s="557" customFormat="1"/>
    <row r="5" spans="1:20">
      <c r="K5" s="346" t="s">
        <v>11</v>
      </c>
      <c r="L5" s="346" t="s">
        <v>100</v>
      </c>
      <c r="O5" s="344" t="s">
        <v>430</v>
      </c>
    </row>
    <row r="6" spans="1:20" s="337" customFormat="1">
      <c r="J6" s="338" t="s">
        <v>334</v>
      </c>
      <c r="K6" s="556">
        <v>0.8</v>
      </c>
      <c r="L6" s="555">
        <f>1-K6</f>
        <v>0.19999999999999996</v>
      </c>
      <c r="Q6" s="338" t="s">
        <v>334</v>
      </c>
      <c r="R6" s="339">
        <v>0.5</v>
      </c>
      <c r="S6" s="337">
        <f>1-R6</f>
        <v>0.5</v>
      </c>
    </row>
    <row r="7" spans="1:20" s="340" customFormat="1">
      <c r="J7" s="338" t="s">
        <v>335</v>
      </c>
      <c r="K7" s="341">
        <v>0</v>
      </c>
      <c r="L7" s="341">
        <v>4</v>
      </c>
      <c r="N7" s="338" t="s">
        <v>335</v>
      </c>
      <c r="O7" s="554">
        <f>K6*K7+L6*L7</f>
        <v>0.79999999999999982</v>
      </c>
      <c r="Q7" s="338" t="s">
        <v>335</v>
      </c>
      <c r="R7" s="341">
        <v>2</v>
      </c>
      <c r="S7" s="341">
        <v>-2</v>
      </c>
    </row>
    <row r="8" spans="1:20" s="337" customFormat="1">
      <c r="J8" s="338" t="s">
        <v>336</v>
      </c>
      <c r="K8" s="341">
        <v>3</v>
      </c>
      <c r="L8" s="341">
        <v>9</v>
      </c>
      <c r="N8" s="337" t="s">
        <v>429</v>
      </c>
      <c r="O8" s="554">
        <f>SQRT(K6^2*K8^2+L6^2*L8^2)</f>
        <v>3</v>
      </c>
      <c r="Q8" s="338" t="s">
        <v>336</v>
      </c>
      <c r="R8" s="341">
        <v>1</v>
      </c>
      <c r="S8" s="341">
        <v>1</v>
      </c>
    </row>
    <row r="9" spans="1:20" s="337" customFormat="1">
      <c r="J9" s="342"/>
      <c r="K9" s="343"/>
      <c r="Q9" s="342"/>
      <c r="R9" s="343"/>
    </row>
    <row r="10" spans="1:20" s="344" customFormat="1">
      <c r="J10" s="345" t="s">
        <v>85</v>
      </c>
      <c r="K10" s="347" t="str">
        <f>"N("&amp;K7&amp;", "&amp;K8&amp;"^2)"</f>
        <v>N(0, 3^2)</v>
      </c>
      <c r="L10" s="347" t="str">
        <f>"N("&amp;L7&amp;", "&amp;L8&amp;"^2)"</f>
        <v>N(4, 9^2)</v>
      </c>
      <c r="M10" s="553" t="str">
        <f>K6&amp;"N("&amp;K7&amp;","&amp;K8&amp;"^2) + "&amp;L6&amp;"N("&amp;L7&amp;","&amp;L8&amp;"^2)"</f>
        <v>0.8N(0,3^2) + 0.2N(4,9^2)</v>
      </c>
      <c r="N10" s="347"/>
      <c r="O10" s="347"/>
      <c r="Q10" s="345" t="s">
        <v>85</v>
      </c>
      <c r="R10" s="346" t="str">
        <f>"N("&amp;R7&amp;", "&amp;R8&amp;")"</f>
        <v>N(2, 1)</v>
      </c>
      <c r="S10" s="346" t="str">
        <f>"N("&amp;S7&amp;", "&amp;S8&amp;")"</f>
        <v>N(-2, 1)</v>
      </c>
      <c r="T10" s="347" t="str">
        <f>R6&amp;"N("&amp;R7&amp;","&amp;R8&amp;") + "&amp;S6&amp;"N("&amp;S7&amp;","&amp;S8&amp;")"</f>
        <v>0.5N(2,1) + 0.5N(-2,1)</v>
      </c>
    </row>
    <row r="11" spans="1:20">
      <c r="J11" s="349">
        <f t="shared" ref="J11:J24" si="0">J12-0.5</f>
        <v>-7</v>
      </c>
      <c r="K11" s="350">
        <f t="shared" ref="K11:L39" si="1">_xlfn.NORM.DIST($J11,K$7,K$8,TRUE)</f>
        <v>9.8153286286453353E-3</v>
      </c>
      <c r="L11" s="350">
        <f t="shared" si="1"/>
        <v>0.11081180122969675</v>
      </c>
      <c r="M11" s="350">
        <f t="shared" ref="M11:M39" si="2">$K$6*K11+(1-$K$6)*L11</f>
        <v>3.0014623148855613E-2</v>
      </c>
      <c r="N11" s="544">
        <f t="shared" ref="N11:N39" si="3">$K$6*_xlfn.NORM.DIST(J11,$K$7,$K$8,TRUE)+$L$6*_xlfn.NORM.DIST(J11,$L$7,$L$8,TRUE)</f>
        <v>3.0014623148855613E-2</v>
      </c>
      <c r="O11" s="543">
        <f t="shared" ref="O11:O39" si="4">_xlfn.NORM.DIST(J11,$O$7,$O$8,TRUE)</f>
        <v>4.6611880237187476E-3</v>
      </c>
      <c r="Q11" s="349">
        <f t="shared" ref="Q11:Q24" si="5">Q12-0.5</f>
        <v>-7</v>
      </c>
      <c r="R11" s="350">
        <f t="shared" ref="R11:S39" si="6">_xlfn.NORM.DIST($Q11,R$7,R$8,FALSE)</f>
        <v>1.0279773571668917E-18</v>
      </c>
      <c r="S11" s="350">
        <f t="shared" si="6"/>
        <v>1.4867195147342977E-6</v>
      </c>
      <c r="T11" s="350">
        <f t="shared" ref="T11:T39" si="7">$R$6*R11+(1-$R$6)*S11</f>
        <v>7.4335975736766278E-7</v>
      </c>
    </row>
    <row r="12" spans="1:20">
      <c r="J12" s="349">
        <f t="shared" si="0"/>
        <v>-6.5</v>
      </c>
      <c r="K12" s="350">
        <f t="shared" si="1"/>
        <v>1.5130140010235814E-2</v>
      </c>
      <c r="L12" s="350">
        <f t="shared" si="1"/>
        <v>0.12167250457438125</v>
      </c>
      <c r="M12" s="350">
        <f t="shared" si="2"/>
        <v>3.6438612923064898E-2</v>
      </c>
      <c r="N12" s="544">
        <f t="shared" si="3"/>
        <v>3.6438612923064898E-2</v>
      </c>
      <c r="O12" s="543">
        <f t="shared" si="4"/>
        <v>7.4802605603901283E-3</v>
      </c>
      <c r="Q12" s="349">
        <f t="shared" si="5"/>
        <v>-6.5</v>
      </c>
      <c r="R12" s="350">
        <f t="shared" si="6"/>
        <v>8.1662356316695502E-17</v>
      </c>
      <c r="S12" s="350">
        <f t="shared" si="6"/>
        <v>1.5983741106905475E-5</v>
      </c>
      <c r="T12" s="350">
        <f t="shared" si="7"/>
        <v>7.9918705534935677E-6</v>
      </c>
    </row>
    <row r="13" spans="1:20">
      <c r="J13" s="349">
        <f t="shared" si="0"/>
        <v>-6</v>
      </c>
      <c r="K13" s="350">
        <f t="shared" si="1"/>
        <v>2.2750131948179191E-2</v>
      </c>
      <c r="L13" s="350">
        <f t="shared" si="1"/>
        <v>0.13326026290250542</v>
      </c>
      <c r="M13" s="350">
        <f t="shared" si="2"/>
        <v>4.4852158139044432E-2</v>
      </c>
      <c r="N13" s="544">
        <f t="shared" si="3"/>
        <v>4.4852158139044432E-2</v>
      </c>
      <c r="O13" s="543">
        <f t="shared" si="4"/>
        <v>1.1705298080558344E-2</v>
      </c>
      <c r="Q13" s="349">
        <f t="shared" si="5"/>
        <v>-6</v>
      </c>
      <c r="R13" s="350">
        <f t="shared" si="6"/>
        <v>5.0522710835368927E-15</v>
      </c>
      <c r="S13" s="350">
        <f t="shared" si="6"/>
        <v>1.3383022576488537E-4</v>
      </c>
      <c r="T13" s="350">
        <f t="shared" si="7"/>
        <v>6.6915112884968821E-5</v>
      </c>
    </row>
    <row r="14" spans="1:20">
      <c r="J14" s="349">
        <f t="shared" si="0"/>
        <v>-5.5</v>
      </c>
      <c r="K14" s="350">
        <f t="shared" si="1"/>
        <v>3.337650758481725E-2</v>
      </c>
      <c r="L14" s="350">
        <f t="shared" si="1"/>
        <v>0.14558565762265402</v>
      </c>
      <c r="M14" s="350">
        <f t="shared" si="2"/>
        <v>5.5818337592384595E-2</v>
      </c>
      <c r="N14" s="544">
        <f t="shared" si="3"/>
        <v>5.5818337592384595E-2</v>
      </c>
      <c r="O14" s="543">
        <f t="shared" si="4"/>
        <v>1.7864420562816546E-2</v>
      </c>
      <c r="Q14" s="349">
        <f t="shared" si="5"/>
        <v>-5.5</v>
      </c>
      <c r="R14" s="350">
        <f t="shared" si="6"/>
        <v>2.4343205330290096E-13</v>
      </c>
      <c r="S14" s="350">
        <f t="shared" si="6"/>
        <v>8.7268269504576015E-4</v>
      </c>
      <c r="T14" s="350">
        <f t="shared" si="7"/>
        <v>4.3634134764459608E-4</v>
      </c>
    </row>
    <row r="15" spans="1:20">
      <c r="J15" s="349">
        <f t="shared" si="0"/>
        <v>-5</v>
      </c>
      <c r="K15" s="350">
        <f t="shared" si="1"/>
        <v>4.7790352272814703E-2</v>
      </c>
      <c r="L15" s="350">
        <f t="shared" si="1"/>
        <v>0.15865525393145699</v>
      </c>
      <c r="M15" s="350">
        <f t="shared" si="2"/>
        <v>6.9963332604543155E-2</v>
      </c>
      <c r="N15" s="544">
        <f t="shared" si="3"/>
        <v>6.9963332604543155E-2</v>
      </c>
      <c r="O15" s="543">
        <f t="shared" si="4"/>
        <v>2.6597574021009637E-2</v>
      </c>
      <c r="Q15" s="349">
        <f t="shared" si="5"/>
        <v>-5</v>
      </c>
      <c r="R15" s="350">
        <f t="shared" si="6"/>
        <v>9.1347204083645936E-12</v>
      </c>
      <c r="S15" s="350">
        <f t="shared" si="6"/>
        <v>4.4318484119380075E-3</v>
      </c>
      <c r="T15" s="350">
        <f t="shared" si="7"/>
        <v>2.2159242105363641E-3</v>
      </c>
    </row>
    <row r="16" spans="1:20">
      <c r="J16" s="349">
        <f t="shared" si="0"/>
        <v>-4.5</v>
      </c>
      <c r="K16" s="350">
        <f t="shared" si="1"/>
        <v>6.6807201268858057E-2</v>
      </c>
      <c r="L16" s="350">
        <f t="shared" si="1"/>
        <v>0.17247128941430825</v>
      </c>
      <c r="M16" s="350">
        <f t="shared" si="2"/>
        <v>8.7940018897948086E-2</v>
      </c>
      <c r="N16" s="544">
        <f t="shared" si="3"/>
        <v>8.7940018897948086E-2</v>
      </c>
      <c r="O16" s="543">
        <f t="shared" si="4"/>
        <v>3.8642034462794954E-2</v>
      </c>
      <c r="Q16" s="349">
        <f t="shared" si="5"/>
        <v>-4.5</v>
      </c>
      <c r="R16" s="350">
        <f t="shared" si="6"/>
        <v>2.6695566147628519E-10</v>
      </c>
      <c r="S16" s="350">
        <f t="shared" si="6"/>
        <v>1.752830049356854E-2</v>
      </c>
      <c r="T16" s="350">
        <f t="shared" si="7"/>
        <v>8.7641503802621014E-3</v>
      </c>
    </row>
    <row r="17" spans="10:24">
      <c r="J17" s="349">
        <f t="shared" si="0"/>
        <v>-4</v>
      </c>
      <c r="K17" s="350">
        <f t="shared" si="1"/>
        <v>9.1211219725867876E-2</v>
      </c>
      <c r="L17" s="350">
        <f t="shared" si="1"/>
        <v>0.18703139874544125</v>
      </c>
      <c r="M17" s="350">
        <f t="shared" si="2"/>
        <v>0.11037525552978256</v>
      </c>
      <c r="N17" s="544">
        <f t="shared" si="3"/>
        <v>0.11037525552978256</v>
      </c>
      <c r="O17" s="543">
        <f t="shared" si="4"/>
        <v>5.4799291699558009E-2</v>
      </c>
      <c r="Q17" s="349">
        <f t="shared" si="5"/>
        <v>-4</v>
      </c>
      <c r="R17" s="350">
        <f t="shared" si="6"/>
        <v>6.0758828498232861E-9</v>
      </c>
      <c r="S17" s="350">
        <f t="shared" si="6"/>
        <v>5.3990966513188063E-2</v>
      </c>
      <c r="T17" s="350">
        <f t="shared" si="7"/>
        <v>2.6995486294535458E-2</v>
      </c>
    </row>
    <row r="18" spans="10:24">
      <c r="J18" s="349">
        <f t="shared" si="0"/>
        <v>-3.5</v>
      </c>
      <c r="K18" s="350">
        <f t="shared" si="1"/>
        <v>0.12167250457438125</v>
      </c>
      <c r="L18" s="350">
        <f t="shared" si="1"/>
        <v>0.20232838096364303</v>
      </c>
      <c r="M18" s="350">
        <f t="shared" si="2"/>
        <v>0.1378036798522336</v>
      </c>
      <c r="N18" s="544">
        <f t="shared" si="3"/>
        <v>0.1378036798522336</v>
      </c>
      <c r="O18" s="543">
        <f t="shared" si="4"/>
        <v>7.5881300172258109E-2</v>
      </c>
      <c r="Q18" s="349">
        <f t="shared" si="5"/>
        <v>-3.5</v>
      </c>
      <c r="R18" s="350">
        <f t="shared" si="6"/>
        <v>1.0769760042543276E-7</v>
      </c>
      <c r="S18" s="350">
        <f t="shared" si="6"/>
        <v>0.12951759566589174</v>
      </c>
      <c r="T18" s="350">
        <f t="shared" si="7"/>
        <v>6.4758851681746082E-2</v>
      </c>
    </row>
    <row r="19" spans="10:24">
      <c r="J19" s="349">
        <f t="shared" si="0"/>
        <v>-3</v>
      </c>
      <c r="K19" s="350">
        <f t="shared" si="1"/>
        <v>0.15865525393145699</v>
      </c>
      <c r="L19" s="350">
        <f t="shared" si="1"/>
        <v>0.21835001536137882</v>
      </c>
      <c r="M19" s="350">
        <f t="shared" si="2"/>
        <v>0.17059420621744134</v>
      </c>
      <c r="N19" s="544">
        <f t="shared" si="3"/>
        <v>0.17059420621744134</v>
      </c>
      <c r="O19" s="543">
        <f t="shared" si="4"/>
        <v>0.10263725183213576</v>
      </c>
      <c r="Q19" s="349">
        <f t="shared" si="5"/>
        <v>-3</v>
      </c>
      <c r="R19" s="350">
        <f t="shared" si="6"/>
        <v>1.4867195147342977E-6</v>
      </c>
      <c r="S19" s="350">
        <f t="shared" si="6"/>
        <v>0.24197072451914337</v>
      </c>
      <c r="T19" s="350">
        <f t="shared" si="7"/>
        <v>0.12098610561932904</v>
      </c>
    </row>
    <row r="20" spans="10:24">
      <c r="J20" s="349">
        <f t="shared" si="0"/>
        <v>-2.5</v>
      </c>
      <c r="K20" s="350">
        <f t="shared" si="1"/>
        <v>0.20232838096364303</v>
      </c>
      <c r="L20" s="350">
        <f t="shared" si="1"/>
        <v>0.23507893142883482</v>
      </c>
      <c r="M20" s="350">
        <f t="shared" si="2"/>
        <v>0.20887849105668138</v>
      </c>
      <c r="N20" s="544">
        <f t="shared" si="3"/>
        <v>0.20887849105668138</v>
      </c>
      <c r="O20" s="543">
        <f t="shared" si="4"/>
        <v>0.13566606094638267</v>
      </c>
      <c r="Q20" s="349">
        <f t="shared" si="5"/>
        <v>-2.5</v>
      </c>
      <c r="R20" s="350">
        <f t="shared" si="6"/>
        <v>1.5983741106905475E-5</v>
      </c>
      <c r="S20" s="350">
        <f t="shared" si="6"/>
        <v>0.35206532676429952</v>
      </c>
      <c r="T20" s="350">
        <f t="shared" si="7"/>
        <v>0.17604065525270321</v>
      </c>
    </row>
    <row r="21" spans="10:24">
      <c r="J21" s="349">
        <f t="shared" si="0"/>
        <v>-2</v>
      </c>
      <c r="K21" s="350">
        <f t="shared" si="1"/>
        <v>0.25249253754692291</v>
      </c>
      <c r="L21" s="350">
        <f t="shared" si="1"/>
        <v>0.25249253754692291</v>
      </c>
      <c r="M21" s="350">
        <f t="shared" si="2"/>
        <v>0.25249253754692291</v>
      </c>
      <c r="N21" s="544">
        <f t="shared" si="3"/>
        <v>0.25249253754692291</v>
      </c>
      <c r="O21" s="543">
        <f t="shared" si="4"/>
        <v>0.17532394485222946</v>
      </c>
      <c r="Q21" s="349">
        <f t="shared" si="5"/>
        <v>-2</v>
      </c>
      <c r="R21" s="350">
        <f t="shared" si="6"/>
        <v>1.3383022576488537E-4</v>
      </c>
      <c r="S21" s="350">
        <f t="shared" si="6"/>
        <v>0.3989422804014327</v>
      </c>
      <c r="T21" s="350">
        <f t="shared" si="7"/>
        <v>0.19953805531359881</v>
      </c>
    </row>
    <row r="22" spans="10:24">
      <c r="J22" s="349">
        <f t="shared" si="0"/>
        <v>-1.5</v>
      </c>
      <c r="K22" s="350">
        <f t="shared" si="1"/>
        <v>0.30853753872598688</v>
      </c>
      <c r="L22" s="350">
        <f t="shared" si="1"/>
        <v>0.27056301223583412</v>
      </c>
      <c r="M22" s="350">
        <f t="shared" si="2"/>
        <v>0.30094263342795635</v>
      </c>
      <c r="N22" s="544">
        <f t="shared" si="3"/>
        <v>0.30094263342795635</v>
      </c>
      <c r="O22" s="543">
        <f t="shared" si="4"/>
        <v>0.22163986354425461</v>
      </c>
      <c r="Q22" s="349">
        <f t="shared" si="5"/>
        <v>-1.5</v>
      </c>
      <c r="R22" s="350">
        <f t="shared" si="6"/>
        <v>8.7268269504576015E-4</v>
      </c>
      <c r="S22" s="350">
        <f t="shared" si="6"/>
        <v>0.35206532676429952</v>
      </c>
      <c r="T22" s="350">
        <f t="shared" si="7"/>
        <v>0.17646900472967264</v>
      </c>
    </row>
    <row r="23" spans="10:24">
      <c r="J23" s="349">
        <f t="shared" si="0"/>
        <v>-1</v>
      </c>
      <c r="K23" s="350">
        <f t="shared" si="1"/>
        <v>0.36944134018176361</v>
      </c>
      <c r="L23" s="350">
        <f t="shared" si="1"/>
        <v>0.28925736075397196</v>
      </c>
      <c r="M23" s="350">
        <f t="shared" si="2"/>
        <v>0.35340454429620527</v>
      </c>
      <c r="N23" s="544">
        <f t="shared" si="3"/>
        <v>0.35340454429620527</v>
      </c>
      <c r="O23" s="543">
        <f t="shared" si="4"/>
        <v>0.27425311775007355</v>
      </c>
      <c r="Q23" s="349">
        <f t="shared" si="5"/>
        <v>-1</v>
      </c>
      <c r="R23" s="350">
        <f t="shared" si="6"/>
        <v>4.4318484119380075E-3</v>
      </c>
      <c r="S23" s="350">
        <f t="shared" si="6"/>
        <v>0.24197072451914337</v>
      </c>
      <c r="T23" s="350">
        <f t="shared" si="7"/>
        <v>0.12320128646554068</v>
      </c>
    </row>
    <row r="24" spans="10:24">
      <c r="J24" s="349">
        <f t="shared" si="0"/>
        <v>-0.5</v>
      </c>
      <c r="K24" s="350">
        <f t="shared" si="1"/>
        <v>0.43381616738909634</v>
      </c>
      <c r="L24" s="350">
        <f t="shared" si="1"/>
        <v>0.30853753872598688</v>
      </c>
      <c r="M24" s="350">
        <f t="shared" si="2"/>
        <v>0.40876044165647446</v>
      </c>
      <c r="N24" s="544">
        <f t="shared" si="3"/>
        <v>0.40876044165647446</v>
      </c>
      <c r="O24" s="543">
        <f t="shared" si="4"/>
        <v>0.33238631262667506</v>
      </c>
      <c r="Q24" s="349">
        <f t="shared" si="5"/>
        <v>-0.5</v>
      </c>
      <c r="R24" s="350">
        <f t="shared" si="6"/>
        <v>1.752830049356854E-2</v>
      </c>
      <c r="S24" s="350">
        <f t="shared" si="6"/>
        <v>0.12951759566589174</v>
      </c>
      <c r="T24" s="350">
        <f t="shared" si="7"/>
        <v>7.3522948079730144E-2</v>
      </c>
      <c r="V24" s="552">
        <f>K6</f>
        <v>0.8</v>
      </c>
      <c r="W24" s="552">
        <f>L6</f>
        <v>0.19999999999999996</v>
      </c>
    </row>
    <row r="25" spans="10:24">
      <c r="J25" s="548">
        <v>0</v>
      </c>
      <c r="K25" s="547">
        <f t="shared" si="1"/>
        <v>0.5</v>
      </c>
      <c r="L25" s="547">
        <f t="shared" si="1"/>
        <v>0.32836064328188519</v>
      </c>
      <c r="M25" s="547">
        <f t="shared" si="2"/>
        <v>0.46567212865637703</v>
      </c>
      <c r="N25" s="551">
        <f t="shared" si="3"/>
        <v>0.46567212865637703</v>
      </c>
      <c r="O25" s="550">
        <f t="shared" si="4"/>
        <v>0.39486291046402516</v>
      </c>
      <c r="P25" s="549">
        <f>N25-O25</f>
        <v>7.0809218192351864E-2</v>
      </c>
      <c r="Q25" s="548">
        <v>0</v>
      </c>
      <c r="R25" s="547">
        <f t="shared" si="6"/>
        <v>5.3990966513188063E-2</v>
      </c>
      <c r="S25" s="547">
        <f t="shared" si="6"/>
        <v>5.3990966513188063E-2</v>
      </c>
      <c r="T25" s="547">
        <f t="shared" si="7"/>
        <v>5.3990966513188063E-2</v>
      </c>
      <c r="U25" s="546"/>
      <c r="V25" s="545">
        <f>V24*K25</f>
        <v>0.4</v>
      </c>
      <c r="W25" s="545">
        <f>W24*L25</f>
        <v>6.5672128656377018E-2</v>
      </c>
      <c r="X25" s="543">
        <f>V25+W25</f>
        <v>0.46567212865637703</v>
      </c>
    </row>
    <row r="26" spans="10:24">
      <c r="J26" s="349">
        <f t="shared" ref="J26:J38" si="8">J25+0.5</f>
        <v>0.5</v>
      </c>
      <c r="K26" s="350">
        <f t="shared" si="1"/>
        <v>0.56618383261090366</v>
      </c>
      <c r="L26" s="350">
        <f t="shared" si="1"/>
        <v>0.3486791709387379</v>
      </c>
      <c r="M26" s="350">
        <f t="shared" si="2"/>
        <v>0.52268290027647046</v>
      </c>
      <c r="N26" s="544">
        <f t="shared" si="3"/>
        <v>0.52268290027647046</v>
      </c>
      <c r="O26" s="543">
        <f t="shared" si="4"/>
        <v>0.46017216272297101</v>
      </c>
      <c r="Q26" s="349">
        <f t="shared" ref="Q26:Q39" si="9">Q25+0.5</f>
        <v>0.5</v>
      </c>
      <c r="R26" s="350">
        <f t="shared" si="6"/>
        <v>0.12951759566589174</v>
      </c>
      <c r="S26" s="350">
        <f t="shared" si="6"/>
        <v>1.752830049356854E-2</v>
      </c>
      <c r="T26" s="350">
        <f t="shared" si="7"/>
        <v>7.3522948079730144E-2</v>
      </c>
    </row>
    <row r="27" spans="10:24">
      <c r="J27" s="349">
        <f t="shared" si="8"/>
        <v>1</v>
      </c>
      <c r="K27" s="350">
        <f t="shared" si="1"/>
        <v>0.63055865981823644</v>
      </c>
      <c r="L27" s="350">
        <f t="shared" si="1"/>
        <v>0.36944134018176361</v>
      </c>
      <c r="M27" s="350">
        <f t="shared" si="2"/>
        <v>0.57833519589094196</v>
      </c>
      <c r="N27" s="544">
        <f t="shared" si="3"/>
        <v>0.57833519589094196</v>
      </c>
      <c r="O27" s="543">
        <f t="shared" si="4"/>
        <v>0.5265764643003652</v>
      </c>
      <c r="Q27" s="349">
        <f t="shared" si="9"/>
        <v>1</v>
      </c>
      <c r="R27" s="350">
        <f t="shared" si="6"/>
        <v>0.24197072451914337</v>
      </c>
      <c r="S27" s="350">
        <f t="shared" si="6"/>
        <v>4.4318484119380075E-3</v>
      </c>
      <c r="T27" s="350">
        <f t="shared" si="7"/>
        <v>0.12320128646554068</v>
      </c>
    </row>
    <row r="28" spans="10:24">
      <c r="J28" s="349">
        <f t="shared" si="8"/>
        <v>1.5</v>
      </c>
      <c r="K28" s="350">
        <f t="shared" si="1"/>
        <v>0.69146246127401312</v>
      </c>
      <c r="L28" s="350">
        <f t="shared" si="1"/>
        <v>0.39059147543357498</v>
      </c>
      <c r="M28" s="350">
        <f t="shared" si="2"/>
        <v>0.63128826410592553</v>
      </c>
      <c r="N28" s="544">
        <f t="shared" si="3"/>
        <v>0.63128826410592553</v>
      </c>
      <c r="O28" s="543">
        <f t="shared" si="4"/>
        <v>0.59224871170310478</v>
      </c>
      <c r="Q28" s="349">
        <f t="shared" si="9"/>
        <v>1.5</v>
      </c>
      <c r="R28" s="350">
        <f t="shared" si="6"/>
        <v>0.35206532676429952</v>
      </c>
      <c r="S28" s="350">
        <f t="shared" si="6"/>
        <v>8.7268269504576015E-4</v>
      </c>
      <c r="T28" s="350">
        <f t="shared" si="7"/>
        <v>0.17646900472967264</v>
      </c>
    </row>
    <row r="29" spans="10:24">
      <c r="J29" s="349">
        <f t="shared" si="8"/>
        <v>2</v>
      </c>
      <c r="K29" s="350">
        <f t="shared" si="1"/>
        <v>0.74750746245307709</v>
      </c>
      <c r="L29" s="350">
        <f t="shared" si="1"/>
        <v>0.4120704478709426</v>
      </c>
      <c r="M29" s="350">
        <f t="shared" si="2"/>
        <v>0.68042005953665019</v>
      </c>
      <c r="N29" s="544">
        <f t="shared" si="3"/>
        <v>0.68042005953665019</v>
      </c>
      <c r="O29" s="543">
        <f t="shared" si="4"/>
        <v>0.65542174161032429</v>
      </c>
      <c r="Q29" s="349">
        <f t="shared" si="9"/>
        <v>2</v>
      </c>
      <c r="R29" s="350">
        <f t="shared" si="6"/>
        <v>0.3989422804014327</v>
      </c>
      <c r="S29" s="350">
        <f t="shared" si="6"/>
        <v>1.3383022576488537E-4</v>
      </c>
      <c r="T29" s="350">
        <f t="shared" si="7"/>
        <v>0.19953805531359881</v>
      </c>
    </row>
    <row r="30" spans="10:24">
      <c r="J30" s="349">
        <f t="shared" si="8"/>
        <v>2.5</v>
      </c>
      <c r="K30" s="350">
        <f t="shared" si="1"/>
        <v>0.79767161903635697</v>
      </c>
      <c r="L30" s="350">
        <f t="shared" si="1"/>
        <v>0.43381616738909634</v>
      </c>
      <c r="M30" s="350">
        <f t="shared" si="2"/>
        <v>0.7249005287069048</v>
      </c>
      <c r="N30" s="544">
        <f t="shared" si="3"/>
        <v>0.7249005287069048</v>
      </c>
      <c r="O30" s="543">
        <f t="shared" si="4"/>
        <v>0.71452966409855612</v>
      </c>
      <c r="Q30" s="349">
        <f t="shared" si="9"/>
        <v>2.5</v>
      </c>
      <c r="R30" s="350">
        <f t="shared" si="6"/>
        <v>0.35206532676429952</v>
      </c>
      <c r="S30" s="350">
        <f t="shared" si="6"/>
        <v>1.5983741106905475E-5</v>
      </c>
      <c r="T30" s="350">
        <f t="shared" si="7"/>
        <v>0.17604065525270321</v>
      </c>
    </row>
    <row r="31" spans="10:24">
      <c r="J31" s="349">
        <f t="shared" si="8"/>
        <v>3</v>
      </c>
      <c r="K31" s="350">
        <f t="shared" si="1"/>
        <v>0.84134474606854304</v>
      </c>
      <c r="L31" s="350">
        <f t="shared" si="1"/>
        <v>0.4557641189546886</v>
      </c>
      <c r="M31" s="350">
        <f t="shared" si="2"/>
        <v>0.76422862064577213</v>
      </c>
      <c r="N31" s="544">
        <f t="shared" si="3"/>
        <v>0.76422862064577213</v>
      </c>
      <c r="O31" s="543">
        <f t="shared" si="4"/>
        <v>0.76832242536520179</v>
      </c>
      <c r="Q31" s="349">
        <f t="shared" si="9"/>
        <v>3</v>
      </c>
      <c r="R31" s="350">
        <f t="shared" si="6"/>
        <v>0.24197072451914337</v>
      </c>
      <c r="S31" s="350">
        <f t="shared" si="6"/>
        <v>1.4867195147342977E-6</v>
      </c>
      <c r="T31" s="350">
        <f t="shared" si="7"/>
        <v>0.12098610561932904</v>
      </c>
    </row>
    <row r="32" spans="10:24">
      <c r="J32" s="349">
        <f t="shared" si="8"/>
        <v>3.5</v>
      </c>
      <c r="K32" s="350">
        <f t="shared" si="1"/>
        <v>0.87832749542561872</v>
      </c>
      <c r="L32" s="350">
        <f t="shared" si="1"/>
        <v>0.47784793565821782</v>
      </c>
      <c r="M32" s="350">
        <f t="shared" si="2"/>
        <v>0.79823158347213852</v>
      </c>
      <c r="N32" s="544">
        <f t="shared" si="3"/>
        <v>0.79823158347213852</v>
      </c>
      <c r="O32" s="543">
        <f t="shared" si="4"/>
        <v>0.81593987465324047</v>
      </c>
      <c r="Q32" s="349">
        <f t="shared" si="9"/>
        <v>3.5</v>
      </c>
      <c r="R32" s="350">
        <f t="shared" si="6"/>
        <v>0.12951759566589174</v>
      </c>
      <c r="S32" s="350">
        <f t="shared" si="6"/>
        <v>1.0769760042543276E-7</v>
      </c>
      <c r="T32" s="350">
        <f t="shared" si="7"/>
        <v>6.4758851681746082E-2</v>
      </c>
    </row>
    <row r="33" spans="10:20">
      <c r="J33" s="349">
        <f t="shared" si="8"/>
        <v>4</v>
      </c>
      <c r="K33" s="350">
        <f t="shared" si="1"/>
        <v>0.90878878027413212</v>
      </c>
      <c r="L33" s="350">
        <f t="shared" si="1"/>
        <v>0.5</v>
      </c>
      <c r="M33" s="350">
        <f t="shared" si="2"/>
        <v>0.82703102421930574</v>
      </c>
      <c r="N33" s="544">
        <f t="shared" si="3"/>
        <v>0.82703102421930574</v>
      </c>
      <c r="O33" s="543">
        <f t="shared" si="4"/>
        <v>0.85693880780449094</v>
      </c>
      <c r="Q33" s="349">
        <f t="shared" si="9"/>
        <v>4</v>
      </c>
      <c r="R33" s="350">
        <f t="shared" si="6"/>
        <v>5.3990966513188063E-2</v>
      </c>
      <c r="S33" s="350">
        <f t="shared" si="6"/>
        <v>6.0758828498232861E-9</v>
      </c>
      <c r="T33" s="350">
        <f t="shared" si="7"/>
        <v>2.6995486294535458E-2</v>
      </c>
    </row>
    <row r="34" spans="10:20">
      <c r="J34" s="349">
        <f t="shared" si="8"/>
        <v>4.5</v>
      </c>
      <c r="K34" s="350">
        <f t="shared" si="1"/>
        <v>0.93319279873114191</v>
      </c>
      <c r="L34" s="350">
        <f t="shared" si="1"/>
        <v>0.52215206434178218</v>
      </c>
      <c r="M34" s="350">
        <f t="shared" si="2"/>
        <v>0.85098465185326999</v>
      </c>
      <c r="N34" s="544">
        <f t="shared" si="3"/>
        <v>0.85098465185326999</v>
      </c>
      <c r="O34" s="543">
        <f t="shared" si="4"/>
        <v>0.89127428678740883</v>
      </c>
      <c r="Q34" s="349">
        <f t="shared" si="9"/>
        <v>4.5</v>
      </c>
      <c r="R34" s="350">
        <f t="shared" si="6"/>
        <v>1.752830049356854E-2</v>
      </c>
      <c r="S34" s="350">
        <f t="shared" si="6"/>
        <v>2.6695566147628519E-10</v>
      </c>
      <c r="T34" s="350">
        <f t="shared" si="7"/>
        <v>8.7641503802621014E-3</v>
      </c>
    </row>
    <row r="35" spans="10:20">
      <c r="J35" s="349">
        <f t="shared" si="8"/>
        <v>5</v>
      </c>
      <c r="K35" s="350">
        <f t="shared" si="1"/>
        <v>0.9522096477271853</v>
      </c>
      <c r="L35" s="350">
        <f t="shared" si="1"/>
        <v>0.5442358810453114</v>
      </c>
      <c r="M35" s="350">
        <f t="shared" si="2"/>
        <v>0.87061489439081052</v>
      </c>
      <c r="N35" s="544">
        <f t="shared" si="3"/>
        <v>0.87061489439081052</v>
      </c>
      <c r="O35" s="543">
        <f t="shared" si="4"/>
        <v>0.91924334076622893</v>
      </c>
      <c r="Q35" s="349">
        <f t="shared" si="9"/>
        <v>5</v>
      </c>
      <c r="R35" s="350">
        <f t="shared" si="6"/>
        <v>4.4318484119380075E-3</v>
      </c>
      <c r="S35" s="350">
        <f t="shared" si="6"/>
        <v>9.1347204083645936E-12</v>
      </c>
      <c r="T35" s="350">
        <f t="shared" si="7"/>
        <v>2.2159242105363641E-3</v>
      </c>
    </row>
    <row r="36" spans="10:20">
      <c r="J36" s="349">
        <f t="shared" si="8"/>
        <v>5.5</v>
      </c>
      <c r="K36" s="350">
        <f t="shared" si="1"/>
        <v>0.96662349241518275</v>
      </c>
      <c r="L36" s="350">
        <f t="shared" si="1"/>
        <v>0.56618383261090366</v>
      </c>
      <c r="M36" s="350">
        <f t="shared" si="2"/>
        <v>0.88653556045432702</v>
      </c>
      <c r="N36" s="544">
        <f t="shared" si="3"/>
        <v>0.88653556045432702</v>
      </c>
      <c r="O36" s="543">
        <f t="shared" si="4"/>
        <v>0.94140368695951426</v>
      </c>
      <c r="Q36" s="349">
        <f t="shared" si="9"/>
        <v>5.5</v>
      </c>
      <c r="R36" s="350">
        <f t="shared" si="6"/>
        <v>8.7268269504576015E-4</v>
      </c>
      <c r="S36" s="350">
        <f t="shared" si="6"/>
        <v>2.4343205330290096E-13</v>
      </c>
      <c r="T36" s="350">
        <f t="shared" si="7"/>
        <v>4.3634134764459608E-4</v>
      </c>
    </row>
    <row r="37" spans="10:20">
      <c r="J37" s="349">
        <f t="shared" si="8"/>
        <v>6</v>
      </c>
      <c r="K37" s="350">
        <f t="shared" si="1"/>
        <v>0.97724986805182079</v>
      </c>
      <c r="L37" s="350">
        <f t="shared" si="1"/>
        <v>0.5879295521290574</v>
      </c>
      <c r="M37" s="350">
        <f t="shared" si="2"/>
        <v>0.89938580486726816</v>
      </c>
      <c r="N37" s="544">
        <f t="shared" si="3"/>
        <v>0.89938580486726816</v>
      </c>
      <c r="O37" s="543">
        <f t="shared" si="4"/>
        <v>0.95848178031122089</v>
      </c>
      <c r="Q37" s="349">
        <f t="shared" si="9"/>
        <v>6</v>
      </c>
      <c r="R37" s="350">
        <f t="shared" si="6"/>
        <v>1.3383022576488537E-4</v>
      </c>
      <c r="S37" s="350">
        <f t="shared" si="6"/>
        <v>5.0522710835368927E-15</v>
      </c>
      <c r="T37" s="350">
        <f t="shared" si="7"/>
        <v>6.6915112884968821E-5</v>
      </c>
    </row>
    <row r="38" spans="10:20">
      <c r="J38" s="349">
        <f t="shared" si="8"/>
        <v>6.5</v>
      </c>
      <c r="K38" s="350">
        <f t="shared" si="1"/>
        <v>0.98486985998976417</v>
      </c>
      <c r="L38" s="350">
        <f t="shared" si="1"/>
        <v>0.60940852456642502</v>
      </c>
      <c r="M38" s="350">
        <f t="shared" si="2"/>
        <v>0.90977759290509641</v>
      </c>
      <c r="N38" s="544">
        <f t="shared" si="3"/>
        <v>0.90977759290509641</v>
      </c>
      <c r="O38" s="543">
        <f t="shared" si="4"/>
        <v>0.97128344018399826</v>
      </c>
      <c r="Q38" s="349">
        <f t="shared" si="9"/>
        <v>6.5</v>
      </c>
      <c r="R38" s="350">
        <f t="shared" si="6"/>
        <v>1.5983741106905475E-5</v>
      </c>
      <c r="S38" s="350">
        <f t="shared" si="6"/>
        <v>8.1662356316695502E-17</v>
      </c>
      <c r="T38" s="350">
        <f t="shared" si="7"/>
        <v>7.9918705534935677E-6</v>
      </c>
    </row>
    <row r="39" spans="10:20">
      <c r="J39" s="349">
        <v>20</v>
      </c>
      <c r="K39" s="350">
        <f t="shared" si="1"/>
        <v>0.99999999998691602</v>
      </c>
      <c r="L39" s="350">
        <f t="shared" si="1"/>
        <v>0.96227982018659974</v>
      </c>
      <c r="M39" s="350">
        <f t="shared" si="2"/>
        <v>0.99245596402685277</v>
      </c>
      <c r="N39" s="544">
        <f t="shared" si="3"/>
        <v>0.99245596402685277</v>
      </c>
      <c r="O39" s="543">
        <f t="shared" si="4"/>
        <v>0.99999999992231148</v>
      </c>
      <c r="Q39" s="349">
        <f t="shared" si="9"/>
        <v>7</v>
      </c>
      <c r="R39" s="350">
        <f t="shared" si="6"/>
        <v>1.4867195147342977E-6</v>
      </c>
      <c r="S39" s="350">
        <f t="shared" si="6"/>
        <v>1.0279773571668917E-18</v>
      </c>
      <c r="T39" s="350">
        <f t="shared" si="7"/>
        <v>7.4335975736766278E-7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3"/>
  <dimension ref="A1"/>
  <sheetViews>
    <sheetView showGridLines="0" workbookViewId="0">
      <selection activeCell="D5" sqref="D5"/>
    </sheetView>
  </sheetViews>
  <sheetFormatPr defaultRowHeight="14.4"/>
  <sheetData>
    <row r="1" spans="1:1" s="155" customFormat="1">
      <c r="A1" s="182" t="s">
        <v>121</v>
      </c>
    </row>
  </sheetData>
  <pageMargins left="0.7" right="0.7" top="0.75" bottom="0.75" header="0.3" footer="0.3"/>
  <pageSetup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4"/>
  <dimension ref="A1:R32"/>
  <sheetViews>
    <sheetView showGridLines="0" workbookViewId="0">
      <selection activeCell="P32" sqref="P32"/>
    </sheetView>
  </sheetViews>
  <sheetFormatPr defaultColWidth="9.109375" defaultRowHeight="15.6"/>
  <cols>
    <col min="1" max="1" width="9.109375" style="160"/>
    <col min="2" max="3" width="12.44140625" style="160" customWidth="1"/>
    <col min="4" max="4" width="11.33203125" style="160" bestFit="1" customWidth="1"/>
    <col min="5" max="17" width="9.109375" style="160"/>
    <col min="18" max="18" width="12.44140625" style="160" bestFit="1" customWidth="1"/>
    <col min="19" max="16384" width="9.109375" style="160"/>
  </cols>
  <sheetData>
    <row r="1" spans="1:18" s="158" customFormat="1">
      <c r="A1" s="158" t="s">
        <v>122</v>
      </c>
      <c r="B1" s="158" t="s">
        <v>123</v>
      </c>
      <c r="C1" s="158" t="s">
        <v>124</v>
      </c>
      <c r="P1" s="158" t="s">
        <v>122</v>
      </c>
      <c r="Q1" s="158" t="s">
        <v>125</v>
      </c>
      <c r="R1" s="158" t="s">
        <v>126</v>
      </c>
    </row>
    <row r="2" spans="1:18">
      <c r="A2" s="159">
        <v>0</v>
      </c>
      <c r="B2" s="160">
        <f t="shared" ref="B2:B32" si="0">GAMMADIST(A2,10,1.5, FALSE)</f>
        <v>0</v>
      </c>
      <c r="C2" s="160">
        <f t="shared" ref="C2:C32" si="1">GAMMADIST(A2,10,1.5, TRUE)</f>
        <v>0</v>
      </c>
      <c r="O2" s="160">
        <v>10</v>
      </c>
      <c r="P2" s="161">
        <v>-0.1</v>
      </c>
      <c r="Q2" s="160">
        <f t="shared" ref="Q2:Q23" si="2">BINOMDIST(O2,30,0.03,0)/2</f>
        <v>4.8238040968456182E-9</v>
      </c>
      <c r="R2" s="160">
        <f>Q2</f>
        <v>4.8238040968456182E-9</v>
      </c>
    </row>
    <row r="3" spans="1:18">
      <c r="A3" s="159">
        <v>1</v>
      </c>
      <c r="B3" s="160">
        <f t="shared" si="0"/>
        <v>2.4535489222344204E-8</v>
      </c>
      <c r="C3" s="160">
        <f t="shared" si="1"/>
        <v>2.6109547200660668E-9</v>
      </c>
      <c r="O3" s="160">
        <v>9</v>
      </c>
      <c r="P3" s="161">
        <v>-9.0000000000000094E-2</v>
      </c>
      <c r="Q3" s="160">
        <f t="shared" si="2"/>
        <v>7.427126942762281E-8</v>
      </c>
      <c r="R3" s="160">
        <f t="shared" ref="R3:R23" si="3">R2+Q3</f>
        <v>7.9095073524468423E-8</v>
      </c>
    </row>
    <row r="4" spans="1:18">
      <c r="A4" s="159">
        <v>2</v>
      </c>
      <c r="B4" s="160">
        <f t="shared" si="0"/>
        <v>6.4496333775826938E-6</v>
      </c>
      <c r="C4" s="160">
        <f t="shared" si="1"/>
        <v>1.4656221392412879E-6</v>
      </c>
      <c r="O4" s="160">
        <v>8</v>
      </c>
      <c r="P4" s="161">
        <v>-8.0000000000000099E-2</v>
      </c>
      <c r="Q4" s="160">
        <f t="shared" si="2"/>
        <v>9.824063365199226E-7</v>
      </c>
      <c r="R4" s="160">
        <f t="shared" si="3"/>
        <v>1.061501410044391E-6</v>
      </c>
    </row>
    <row r="5" spans="1:18">
      <c r="A5" s="159">
        <v>3</v>
      </c>
      <c r="B5" s="160">
        <f t="shared" si="0"/>
        <v>1.2729950216259868E-4</v>
      </c>
      <c r="C5" s="160">
        <f t="shared" si="1"/>
        <v>4.6498075017263846E-5</v>
      </c>
      <c r="O5" s="160">
        <v>7</v>
      </c>
      <c r="P5" s="161">
        <v>-7.0000000000000201E-2</v>
      </c>
      <c r="Q5" s="160">
        <f t="shared" si="2"/>
        <v>1.104851184260086E-5</v>
      </c>
      <c r="R5" s="160">
        <f t="shared" si="3"/>
        <v>1.2110013252645252E-5</v>
      </c>
    </row>
    <row r="6" spans="1:18">
      <c r="A6" s="159">
        <v>4</v>
      </c>
      <c r="B6" s="160">
        <f t="shared" si="0"/>
        <v>8.704537089159511E-4</v>
      </c>
      <c r="C6" s="160">
        <f t="shared" si="1"/>
        <v>4.5608289115746479E-4</v>
      </c>
      <c r="O6" s="160">
        <v>6</v>
      </c>
      <c r="P6" s="161">
        <v>-6.0000000000000199E-2</v>
      </c>
      <c r="Q6" s="160">
        <f t="shared" si="2"/>
        <v>1.0419360473786113E-4</v>
      </c>
      <c r="R6" s="160">
        <f t="shared" si="3"/>
        <v>1.1630361799050639E-4</v>
      </c>
    </row>
    <row r="7" spans="1:18">
      <c r="A7" s="159">
        <v>5</v>
      </c>
      <c r="B7" s="160">
        <f t="shared" si="0"/>
        <v>3.329707946500639E-3</v>
      </c>
      <c r="C7" s="160">
        <f t="shared" si="1"/>
        <v>2.3563754242865611E-3</v>
      </c>
      <c r="O7" s="160">
        <v>5</v>
      </c>
      <c r="P7" s="161">
        <v>-5.0000000000000197E-2</v>
      </c>
      <c r="Q7" s="160">
        <f t="shared" si="2"/>
        <v>8.0854237276580096E-4</v>
      </c>
      <c r="R7" s="160">
        <f t="shared" si="3"/>
        <v>9.2484599075630738E-4</v>
      </c>
    </row>
    <row r="8" spans="1:18">
      <c r="A8" s="159">
        <v>6</v>
      </c>
      <c r="B8" s="160">
        <f t="shared" si="0"/>
        <v>8.8207944607001949E-3</v>
      </c>
      <c r="C8" s="160">
        <f t="shared" si="1"/>
        <v>8.1322427969338622E-3</v>
      </c>
      <c r="O8" s="160">
        <v>4</v>
      </c>
      <c r="P8" s="161">
        <v>-0.04</v>
      </c>
      <c r="Q8" s="160">
        <f t="shared" si="2"/>
        <v>5.02747501014633E-3</v>
      </c>
      <c r="R8" s="160">
        <f t="shared" si="3"/>
        <v>5.9523210009026373E-3</v>
      </c>
    </row>
    <row r="9" spans="1:18">
      <c r="A9" s="159">
        <v>7</v>
      </c>
      <c r="B9" s="160">
        <f t="shared" si="0"/>
        <v>1.8134231453449817E-2</v>
      </c>
      <c r="C9" s="160">
        <f t="shared" si="1"/>
        <v>2.1285044984054955E-2</v>
      </c>
      <c r="O9" s="160">
        <v>3</v>
      </c>
      <c r="P9" s="161">
        <v>-0.03</v>
      </c>
      <c r="Q9" s="160">
        <f t="shared" si="2"/>
        <v>2.4082225974528092E-2</v>
      </c>
      <c r="R9" s="160">
        <f t="shared" si="3"/>
        <v>3.0034546975430731E-2</v>
      </c>
    </row>
    <row r="10" spans="1:18">
      <c r="A10" s="159">
        <v>8</v>
      </c>
      <c r="B10" s="160">
        <f t="shared" si="0"/>
        <v>3.096684944648613E-2</v>
      </c>
      <c r="C10" s="160">
        <f t="shared" si="1"/>
        <v>4.5586938894922227E-2</v>
      </c>
      <c r="O10" s="160">
        <v>2</v>
      </c>
      <c r="P10" s="161">
        <v>-0.02</v>
      </c>
      <c r="Q10" s="160">
        <f t="shared" si="2"/>
        <v>8.342771141175806E-2</v>
      </c>
      <c r="R10" s="160">
        <f t="shared" si="3"/>
        <v>0.11346225838718879</v>
      </c>
    </row>
    <row r="11" spans="1:18">
      <c r="A11" s="159">
        <v>9</v>
      </c>
      <c r="B11" s="160">
        <f t="shared" si="0"/>
        <v>4.5892326013708594E-2</v>
      </c>
      <c r="C11" s="160">
        <f t="shared" si="1"/>
        <v>8.3924016994875839E-2</v>
      </c>
      <c r="O11" s="160">
        <v>1</v>
      </c>
      <c r="P11" s="161">
        <v>-9.9999999999999794E-3</v>
      </c>
      <c r="Q11" s="160">
        <f t="shared" si="2"/>
        <v>0.18603420705610416</v>
      </c>
      <c r="R11" s="160">
        <f t="shared" si="3"/>
        <v>0.29949646544329295</v>
      </c>
    </row>
    <row r="12" spans="1:18">
      <c r="A12" s="159">
        <v>10</v>
      </c>
      <c r="B12" s="160">
        <f t="shared" si="0"/>
        <v>6.0817397315459876E-2</v>
      </c>
      <c r="C12" s="160">
        <f t="shared" si="1"/>
        <v>0.13737153273576747</v>
      </c>
      <c r="O12" s="160">
        <v>0</v>
      </c>
      <c r="P12" s="161">
        <v>0</v>
      </c>
      <c r="Q12" s="160">
        <f t="shared" si="2"/>
        <v>0.20050353427157891</v>
      </c>
      <c r="R12" s="160">
        <f t="shared" si="3"/>
        <v>0.49999999971487186</v>
      </c>
    </row>
    <row r="13" spans="1:18">
      <c r="A13" s="159">
        <v>11</v>
      </c>
      <c r="B13" s="160">
        <f t="shared" si="0"/>
        <v>7.3626192565267423E-2</v>
      </c>
      <c r="C13" s="160">
        <f t="shared" si="1"/>
        <v>0.20484728416449902</v>
      </c>
      <c r="O13" s="160">
        <v>0</v>
      </c>
      <c r="P13" s="161">
        <v>0.01</v>
      </c>
      <c r="Q13" s="160">
        <f t="shared" si="2"/>
        <v>0.20050353427157891</v>
      </c>
      <c r="R13" s="160">
        <f t="shared" si="3"/>
        <v>0.70050353398645071</v>
      </c>
    </row>
    <row r="14" spans="1:18">
      <c r="A14" s="159">
        <v>12</v>
      </c>
      <c r="B14" s="160">
        <f t="shared" si="0"/>
        <v>8.2717944859613007E-2</v>
      </c>
      <c r="C14" s="160">
        <f t="shared" si="1"/>
        <v>0.28337574127298903</v>
      </c>
      <c r="O14" s="160">
        <v>1</v>
      </c>
      <c r="P14" s="161">
        <v>0.02</v>
      </c>
      <c r="Q14" s="160">
        <f t="shared" si="2"/>
        <v>0.18603420705610416</v>
      </c>
      <c r="R14" s="160">
        <f t="shared" si="3"/>
        <v>0.88653774104255489</v>
      </c>
    </row>
    <row r="15" spans="1:18">
      <c r="A15" s="159">
        <v>13</v>
      </c>
      <c r="B15" s="160">
        <f t="shared" si="0"/>
        <v>8.7282873896791971E-2</v>
      </c>
      <c r="C15" s="160">
        <f t="shared" si="1"/>
        <v>0.36876511376337268</v>
      </c>
      <c r="O15" s="160">
        <v>2</v>
      </c>
      <c r="P15" s="161">
        <v>0.03</v>
      </c>
      <c r="Q15" s="160">
        <f t="shared" si="2"/>
        <v>8.342771141175806E-2</v>
      </c>
      <c r="R15" s="160">
        <f t="shared" si="3"/>
        <v>0.96996545245431298</v>
      </c>
    </row>
    <row r="16" spans="1:18">
      <c r="A16" s="159">
        <v>14</v>
      </c>
      <c r="B16" s="160">
        <f t="shared" si="0"/>
        <v>8.7309506455453295E-2</v>
      </c>
      <c r="C16" s="160">
        <f t="shared" si="1"/>
        <v>0.45642173259342217</v>
      </c>
      <c r="O16" s="160">
        <v>3</v>
      </c>
      <c r="P16" s="161">
        <v>0.04</v>
      </c>
      <c r="Q16" s="160">
        <f t="shared" si="2"/>
        <v>2.4082225974528092E-2</v>
      </c>
      <c r="R16" s="160">
        <f t="shared" si="3"/>
        <v>0.99404767842884112</v>
      </c>
    </row>
    <row r="17" spans="1:18">
      <c r="A17" s="159">
        <v>15</v>
      </c>
      <c r="B17" s="160">
        <f t="shared" si="0"/>
        <v>8.3406690480755524E-2</v>
      </c>
      <c r="C17" s="160">
        <f t="shared" si="1"/>
        <v>0.54207028552814773</v>
      </c>
      <c r="O17" s="160">
        <v>4</v>
      </c>
      <c r="P17" s="161">
        <v>0.05</v>
      </c>
      <c r="Q17" s="160">
        <f t="shared" si="2"/>
        <v>5.02747501014633E-3</v>
      </c>
      <c r="R17" s="160">
        <f t="shared" si="3"/>
        <v>0.99907515343898745</v>
      </c>
    </row>
    <row r="18" spans="1:18">
      <c r="A18" s="159">
        <v>16</v>
      </c>
      <c r="B18" s="160">
        <f t="shared" si="0"/>
        <v>7.6547277104200603E-2</v>
      </c>
      <c r="C18" s="160">
        <f t="shared" si="1"/>
        <v>0.62224837395442667</v>
      </c>
      <c r="O18" s="160">
        <v>5</v>
      </c>
      <c r="P18" s="161">
        <v>0.06</v>
      </c>
      <c r="Q18" s="160">
        <f t="shared" si="2"/>
        <v>8.0854237276580096E-4</v>
      </c>
      <c r="R18" s="160">
        <f t="shared" si="3"/>
        <v>0.99988369581175329</v>
      </c>
    </row>
    <row r="19" spans="1:18">
      <c r="A19" s="159">
        <v>17</v>
      </c>
      <c r="B19" s="160">
        <f t="shared" si="0"/>
        <v>6.7820430271393631E-2</v>
      </c>
      <c r="C19" s="160">
        <f t="shared" si="1"/>
        <v>0.69454327041788666</v>
      </c>
      <c r="O19" s="160">
        <v>6</v>
      </c>
      <c r="P19" s="161">
        <v>7.0000000000000007E-2</v>
      </c>
      <c r="Q19" s="160">
        <f t="shared" si="2"/>
        <v>1.0419360473786113E-4</v>
      </c>
      <c r="R19" s="160">
        <f t="shared" si="3"/>
        <v>0.99998788941649119</v>
      </c>
    </row>
    <row r="20" spans="1:18">
      <c r="A20" s="159">
        <v>18</v>
      </c>
      <c r="B20" s="160">
        <f t="shared" si="0"/>
        <v>5.8242919935366289E-2</v>
      </c>
      <c r="C20" s="160">
        <f t="shared" si="1"/>
        <v>0.75760783832948764</v>
      </c>
      <c r="O20" s="160">
        <v>7</v>
      </c>
      <c r="P20" s="161">
        <v>0.08</v>
      </c>
      <c r="Q20" s="160">
        <f t="shared" si="2"/>
        <v>1.104851184260086E-5</v>
      </c>
      <c r="R20" s="160">
        <f t="shared" si="3"/>
        <v>0.99999893792833383</v>
      </c>
    </row>
    <row r="21" spans="1:18">
      <c r="A21" s="159">
        <v>19</v>
      </c>
      <c r="B21" s="160">
        <f t="shared" si="0"/>
        <v>4.8645575727826372E-2</v>
      </c>
      <c r="C21" s="160">
        <f t="shared" si="1"/>
        <v>0.81102513553299405</v>
      </c>
      <c r="O21" s="160">
        <v>8</v>
      </c>
      <c r="P21" s="161">
        <v>0.09</v>
      </c>
      <c r="Q21" s="160">
        <f t="shared" si="2"/>
        <v>9.824063365199226E-7</v>
      </c>
      <c r="R21" s="160">
        <f t="shared" si="3"/>
        <v>0.99999992033467033</v>
      </c>
    </row>
    <row r="22" spans="1:18">
      <c r="A22" s="159">
        <v>20</v>
      </c>
      <c r="B22" s="160">
        <f t="shared" si="0"/>
        <v>3.962791707298155E-2</v>
      </c>
      <c r="C22" s="160">
        <f t="shared" si="1"/>
        <v>0.85509477552184698</v>
      </c>
      <c r="O22" s="160">
        <v>9</v>
      </c>
      <c r="P22" s="161">
        <v>0.1</v>
      </c>
      <c r="Q22" s="160">
        <f t="shared" si="2"/>
        <v>7.427126942762281E-8</v>
      </c>
      <c r="R22" s="160">
        <f t="shared" si="3"/>
        <v>0.9999999946059398</v>
      </c>
    </row>
    <row r="23" spans="1:18">
      <c r="A23" s="159">
        <v>21</v>
      </c>
      <c r="B23" s="160">
        <f t="shared" si="0"/>
        <v>3.1562782494926535E-2</v>
      </c>
      <c r="C23" s="160">
        <f t="shared" si="1"/>
        <v>0.890600630357261</v>
      </c>
      <c r="O23" s="160">
        <v>10</v>
      </c>
      <c r="P23" s="161">
        <v>0.11</v>
      </c>
      <c r="Q23" s="160">
        <f t="shared" si="2"/>
        <v>4.8238040968456182E-9</v>
      </c>
      <c r="R23" s="160">
        <f t="shared" si="3"/>
        <v>0.99999999942974394</v>
      </c>
    </row>
    <row r="24" spans="1:18">
      <c r="A24" s="159">
        <v>22</v>
      </c>
      <c r="B24" s="160">
        <f t="shared" si="0"/>
        <v>2.4630663029922364E-2</v>
      </c>
      <c r="C24" s="160">
        <f t="shared" si="1"/>
        <v>0.91859962830350472</v>
      </c>
    </row>
    <row r="25" spans="1:18">
      <c r="A25" s="159">
        <v>23</v>
      </c>
      <c r="B25" s="160">
        <f t="shared" si="0"/>
        <v>1.8866565377597469E-2</v>
      </c>
      <c r="C25" s="160">
        <f t="shared" si="1"/>
        <v>0.94025237792000804</v>
      </c>
    </row>
    <row r="26" spans="1:18">
      <c r="A26" s="159">
        <v>24</v>
      </c>
      <c r="B26" s="160">
        <f t="shared" si="0"/>
        <v>1.4207374928538042E-2</v>
      </c>
      <c r="C26" s="160">
        <f t="shared" si="1"/>
        <v>0.95670168405813416</v>
      </c>
    </row>
    <row r="27" spans="1:18">
      <c r="A27" s="159">
        <v>25</v>
      </c>
      <c r="B27" s="160">
        <f t="shared" si="0"/>
        <v>1.0532781854473146E-2</v>
      </c>
      <c r="C27" s="160">
        <f t="shared" si="1"/>
        <v>0.96899559859005846</v>
      </c>
    </row>
    <row r="28" spans="1:18">
      <c r="A28" s="159">
        <v>26</v>
      </c>
      <c r="B28" s="160">
        <f t="shared" si="0"/>
        <v>7.6968582543295444E-3</v>
      </c>
      <c r="C28" s="160">
        <f t="shared" si="1"/>
        <v>0.97804683334194964</v>
      </c>
    </row>
    <row r="29" spans="1:18">
      <c r="A29" s="159">
        <v>27</v>
      </c>
      <c r="B29" s="160">
        <f t="shared" si="0"/>
        <v>5.5500587420638766E-3</v>
      </c>
      <c r="C29" s="160">
        <f t="shared" si="1"/>
        <v>0.98461890273941077</v>
      </c>
    </row>
    <row r="30" spans="1:18">
      <c r="A30" s="159">
        <v>28</v>
      </c>
      <c r="B30" s="160">
        <f t="shared" si="0"/>
        <v>3.9529045694650074E-3</v>
      </c>
      <c r="C30" s="160">
        <f t="shared" si="1"/>
        <v>0.98932996779992688</v>
      </c>
    </row>
    <row r="31" spans="1:18">
      <c r="A31" s="159">
        <v>29</v>
      </c>
      <c r="B31" s="160">
        <f t="shared" si="0"/>
        <v>2.7832125508919715E-3</v>
      </c>
      <c r="C31" s="160">
        <f t="shared" si="1"/>
        <v>0.99266697360646439</v>
      </c>
    </row>
    <row r="32" spans="1:18">
      <c r="A32" s="159">
        <v>30</v>
      </c>
      <c r="B32" s="160">
        <f t="shared" si="0"/>
        <v>1.9387688394483784E-3</v>
      </c>
      <c r="C32" s="160">
        <f t="shared" si="1"/>
        <v>0.99500458769169242</v>
      </c>
    </row>
  </sheetData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5"/>
  <dimension ref="B4:H14"/>
  <sheetViews>
    <sheetView showGridLines="0" workbookViewId="0">
      <selection activeCell="L30" sqref="L30"/>
    </sheetView>
  </sheetViews>
  <sheetFormatPr defaultRowHeight="14.4"/>
  <cols>
    <col min="2" max="2" width="14" customWidth="1"/>
    <col min="3" max="3" width="6.44140625" bestFit="1" customWidth="1"/>
    <col min="4" max="4" width="11.109375" bestFit="1" customWidth="1"/>
    <col min="5" max="6" width="12.6640625" customWidth="1"/>
    <col min="7" max="7" width="3.6640625" customWidth="1"/>
    <col min="8" max="8" width="14.109375" bestFit="1" customWidth="1"/>
  </cols>
  <sheetData>
    <row r="4" spans="2:8">
      <c r="C4" s="35"/>
      <c r="D4" s="35"/>
      <c r="E4" s="143" t="s">
        <v>108</v>
      </c>
      <c r="F4" s="143"/>
      <c r="G4" s="35"/>
      <c r="H4" s="130" t="s">
        <v>113</v>
      </c>
    </row>
    <row r="5" spans="2:8">
      <c r="C5" s="35"/>
      <c r="D5" s="35"/>
      <c r="E5" s="141" t="s">
        <v>110</v>
      </c>
      <c r="F5" s="141" t="s">
        <v>111</v>
      </c>
      <c r="G5" s="35"/>
      <c r="H5" s="128" t="s">
        <v>114</v>
      </c>
    </row>
    <row r="6" spans="2:8">
      <c r="C6" s="596" t="s">
        <v>109</v>
      </c>
      <c r="D6" s="148" t="s">
        <v>115</v>
      </c>
      <c r="E6" s="142">
        <v>0.15</v>
      </c>
      <c r="F6" s="145">
        <v>0.05</v>
      </c>
      <c r="G6" s="35"/>
      <c r="H6" s="153">
        <f>SUM(E6:F6)</f>
        <v>0.2</v>
      </c>
    </row>
    <row r="7" spans="2:8">
      <c r="C7" s="596"/>
      <c r="D7" s="148" t="s">
        <v>116</v>
      </c>
      <c r="E7" s="142">
        <v>0.3</v>
      </c>
      <c r="F7" s="146">
        <v>0.25</v>
      </c>
      <c r="G7" s="35"/>
      <c r="H7" s="56">
        <f>SUM(E7:F7)</f>
        <v>0.55000000000000004</v>
      </c>
    </row>
    <row r="8" spans="2:8">
      <c r="C8" s="596"/>
      <c r="D8" s="148" t="s">
        <v>117</v>
      </c>
      <c r="E8" s="144">
        <v>0.05</v>
      </c>
      <c r="F8" s="147">
        <v>0.2</v>
      </c>
      <c r="G8" s="35"/>
      <c r="H8" s="56">
        <f>SUM(E8:F8)</f>
        <v>0.25</v>
      </c>
    </row>
    <row r="9" spans="2:8">
      <c r="H9" s="152"/>
    </row>
    <row r="10" spans="2:8">
      <c r="C10" s="35"/>
      <c r="D10" s="66" t="s">
        <v>112</v>
      </c>
      <c r="E10" s="150">
        <f>SUM(E6:E8)</f>
        <v>0.49999999999999994</v>
      </c>
      <c r="F10" s="150">
        <f>SUM(F6:F8)</f>
        <v>0.5</v>
      </c>
      <c r="G10" s="151"/>
      <c r="H10" s="149">
        <f>SUM(E6:F8)</f>
        <v>1</v>
      </c>
    </row>
    <row r="12" spans="2:8">
      <c r="B12" t="s">
        <v>98</v>
      </c>
      <c r="E12" s="121">
        <f t="shared" ref="E12:F14" si="0">E6/E$10</f>
        <v>0.30000000000000004</v>
      </c>
      <c r="F12" s="121">
        <f t="shared" si="0"/>
        <v>0.1</v>
      </c>
      <c r="H12" s="123" t="s">
        <v>97</v>
      </c>
    </row>
    <row r="13" spans="2:8">
      <c r="B13" t="s">
        <v>96</v>
      </c>
      <c r="E13" s="121">
        <f t="shared" si="0"/>
        <v>0.60000000000000009</v>
      </c>
      <c r="F13" s="121">
        <f t="shared" si="0"/>
        <v>0.5</v>
      </c>
      <c r="H13" s="123" t="s">
        <v>95</v>
      </c>
    </row>
    <row r="14" spans="2:8">
      <c r="B14" t="s">
        <v>94</v>
      </c>
      <c r="E14" s="121">
        <f t="shared" si="0"/>
        <v>0.10000000000000002</v>
      </c>
      <c r="F14" s="121">
        <f t="shared" si="0"/>
        <v>0.4</v>
      </c>
    </row>
  </sheetData>
  <mergeCells count="1">
    <mergeCell ref="C6:C8"/>
  </mergeCells>
  <pageMargins left="0.7" right="0.7" top="0.75" bottom="0.75" header="0.3" footer="0.3"/>
  <pageSetup orientation="portrait" horizontalDpi="0" verticalDpi="0" r:id="rId1"/>
  <ignoredErrors>
    <ignoredError sqref="H6:H8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6"/>
  <dimension ref="B8:Q40"/>
  <sheetViews>
    <sheetView showGridLines="0" workbookViewId="0">
      <selection activeCell="K21" sqref="K21"/>
    </sheetView>
  </sheetViews>
  <sheetFormatPr defaultRowHeight="14.4"/>
  <cols>
    <col min="4" max="4" width="11.5546875" bestFit="1" customWidth="1"/>
    <col min="7" max="7" width="5.6640625" customWidth="1"/>
    <col min="8" max="17" width="7.6640625" customWidth="1"/>
  </cols>
  <sheetData>
    <row r="8" spans="2:5">
      <c r="C8" t="s">
        <v>107</v>
      </c>
    </row>
    <row r="9" spans="2:5">
      <c r="C9" t="s">
        <v>106</v>
      </c>
    </row>
    <row r="10" spans="2:5">
      <c r="C10">
        <v>100</v>
      </c>
      <c r="D10">
        <v>100</v>
      </c>
    </row>
    <row r="11" spans="2:5">
      <c r="C11">
        <v>30</v>
      </c>
      <c r="D11">
        <v>12</v>
      </c>
    </row>
    <row r="12" spans="2:5">
      <c r="C12" s="26">
        <v>0.06</v>
      </c>
      <c r="D12" s="140">
        <v>0.04</v>
      </c>
    </row>
    <row r="13" spans="2:5">
      <c r="B13" t="s">
        <v>105</v>
      </c>
      <c r="C13" s="26">
        <v>8.0000000000000002E-3</v>
      </c>
      <c r="D13" s="139">
        <f>E13/10000</f>
        <v>8.5000000000000006E-3</v>
      </c>
      <c r="E13">
        <v>85</v>
      </c>
    </row>
    <row r="14" spans="2:5">
      <c r="C14">
        <f>C10/(1+C12)^C11</f>
        <v>17.411013091063428</v>
      </c>
      <c r="D14" s="65">
        <f>D10/(1+D12)^D11</f>
        <v>62.459704958006512</v>
      </c>
    </row>
    <row r="16" spans="2:5">
      <c r="C16" s="28">
        <v>15</v>
      </c>
      <c r="D16" s="28">
        <v>60</v>
      </c>
    </row>
    <row r="17" spans="3:17">
      <c r="C17" s="138">
        <f>(C10/C16)^(1/C11)-1</f>
        <v>6.5279635061773256E-2</v>
      </c>
      <c r="D17" s="138">
        <f>(D10/D16)^(1/D11)-1</f>
        <v>4.3487847934513768E-2</v>
      </c>
    </row>
    <row r="18" spans="3:17">
      <c r="C18" s="132">
        <f>(C17-C12)/C13</f>
        <v>0.65995438272165718</v>
      </c>
      <c r="D18" s="132">
        <f>(D17-D12)/D13</f>
        <v>0.41033505111926671</v>
      </c>
    </row>
    <row r="19" spans="3:17">
      <c r="C19" s="69">
        <f>1-_xlfn.NORM.S.DIST(C18,TRUE)</f>
        <v>0.25464155182511994</v>
      </c>
      <c r="D19" s="31">
        <f>1-_xlfn.NORM.S.DIST(D18,TRUE)</f>
        <v>0.34078009160850931</v>
      </c>
    </row>
    <row r="21" spans="3:17">
      <c r="D21">
        <f>100/1.04^12</f>
        <v>62.459704958006512</v>
      </c>
    </row>
    <row r="23" spans="3:17">
      <c r="D23" s="97">
        <f>(100/60)^(1/12)-1</f>
        <v>4.3487847934513768E-2</v>
      </c>
    </row>
    <row r="24" spans="3:17">
      <c r="D24" s="83">
        <f>(D23-D12)/D13</f>
        <v>0.41033505111926671</v>
      </c>
    </row>
    <row r="26" spans="3:17">
      <c r="I26" s="137"/>
    </row>
    <row r="28" spans="3:17">
      <c r="H28" s="136" t="s">
        <v>104</v>
      </c>
      <c r="I28" s="136"/>
      <c r="J28" s="136"/>
      <c r="K28" s="136"/>
      <c r="L28" s="136"/>
      <c r="M28" s="136"/>
      <c r="N28" s="136"/>
      <c r="O28" s="136"/>
      <c r="P28" s="136"/>
      <c r="Q28" s="136"/>
    </row>
    <row r="29" spans="3:17">
      <c r="G29" s="66" t="s">
        <v>103</v>
      </c>
      <c r="H29" s="135">
        <v>0</v>
      </c>
      <c r="I29" s="135">
        <v>0.01</v>
      </c>
      <c r="J29" s="135">
        <v>0.02</v>
      </c>
      <c r="K29" s="135">
        <v>0.03</v>
      </c>
      <c r="L29" s="135">
        <v>0.04</v>
      </c>
      <c r="M29" s="135">
        <v>0.05</v>
      </c>
      <c r="N29" s="135">
        <v>0.06</v>
      </c>
      <c r="O29" s="135">
        <v>7.0000000000000007E-2</v>
      </c>
      <c r="P29" s="135">
        <v>0.08</v>
      </c>
      <c r="Q29" s="135">
        <v>0.09</v>
      </c>
    </row>
    <row r="30" spans="3:17">
      <c r="G30" s="133">
        <v>0</v>
      </c>
      <c r="H30" s="132">
        <f t="shared" ref="H30:Q40" si="0">_xlfn.NORM.S.DIST($G30+H$29,1)</f>
        <v>0.5</v>
      </c>
      <c r="I30" s="132">
        <f t="shared" si="0"/>
        <v>0.5039893563146316</v>
      </c>
      <c r="J30" s="132">
        <f t="shared" si="0"/>
        <v>0.50797831371690205</v>
      </c>
      <c r="K30" s="132">
        <f t="shared" si="0"/>
        <v>0.51196647341411272</v>
      </c>
      <c r="L30" s="132">
        <f t="shared" si="0"/>
        <v>0.51595343685283068</v>
      </c>
      <c r="M30" s="132">
        <f t="shared" si="0"/>
        <v>0.51993880583837249</v>
      </c>
      <c r="N30" s="132">
        <f t="shared" si="0"/>
        <v>0.52392218265410684</v>
      </c>
      <c r="O30" s="132">
        <f t="shared" si="0"/>
        <v>0.52790317018052113</v>
      </c>
      <c r="P30" s="132">
        <f t="shared" si="0"/>
        <v>0.53188137201398744</v>
      </c>
      <c r="Q30" s="132">
        <f t="shared" si="0"/>
        <v>0.53585639258517204</v>
      </c>
    </row>
    <row r="31" spans="3:17">
      <c r="G31" s="134">
        <v>0.1</v>
      </c>
      <c r="H31" s="132">
        <f t="shared" si="0"/>
        <v>0.53982783727702899</v>
      </c>
      <c r="I31" s="132">
        <f t="shared" si="0"/>
        <v>0.54379531254231672</v>
      </c>
      <c r="J31" s="132">
        <f t="shared" si="0"/>
        <v>0.54775842602058389</v>
      </c>
      <c r="K31" s="132">
        <f t="shared" si="0"/>
        <v>0.55171678665456114</v>
      </c>
      <c r="L31" s="132">
        <f t="shared" si="0"/>
        <v>0.55567000480590645</v>
      </c>
      <c r="M31" s="132">
        <f t="shared" si="0"/>
        <v>0.5596176923702425</v>
      </c>
      <c r="N31" s="132">
        <f t="shared" si="0"/>
        <v>0.56355946289143288</v>
      </c>
      <c r="O31" s="132">
        <f t="shared" si="0"/>
        <v>0.56749493167503839</v>
      </c>
      <c r="P31" s="132">
        <f t="shared" si="0"/>
        <v>0.5714237159009008</v>
      </c>
      <c r="Q31" s="132">
        <f t="shared" si="0"/>
        <v>0.57534543473479549</v>
      </c>
    </row>
    <row r="32" spans="3:17">
      <c r="G32" s="133">
        <v>0.2</v>
      </c>
      <c r="H32" s="132">
        <f t="shared" si="0"/>
        <v>0.57925970943910299</v>
      </c>
      <c r="I32" s="132">
        <f t="shared" si="0"/>
        <v>0.58316616348244232</v>
      </c>
      <c r="J32" s="132">
        <f t="shared" si="0"/>
        <v>0.58706442264821468</v>
      </c>
      <c r="K32" s="132">
        <f t="shared" si="0"/>
        <v>0.59095411514200591</v>
      </c>
      <c r="L32" s="132">
        <f t="shared" si="0"/>
        <v>0.59483487169779581</v>
      </c>
      <c r="M32" s="132">
        <f t="shared" si="0"/>
        <v>0.5987063256829237</v>
      </c>
      <c r="N32" s="132">
        <f t="shared" si="0"/>
        <v>0.60256811320176051</v>
      </c>
      <c r="O32" s="132">
        <f t="shared" si="0"/>
        <v>0.60641987319803947</v>
      </c>
      <c r="P32" s="132">
        <f t="shared" si="0"/>
        <v>0.61026124755579725</v>
      </c>
      <c r="Q32" s="132">
        <f t="shared" si="0"/>
        <v>0.61409188119887737</v>
      </c>
    </row>
    <row r="33" spans="7:17">
      <c r="G33" s="134">
        <v>0.3</v>
      </c>
      <c r="H33" s="132">
        <f t="shared" si="0"/>
        <v>0.61791142218895267</v>
      </c>
      <c r="I33" s="132">
        <f t="shared" si="0"/>
        <v>0.62171952182201928</v>
      </c>
      <c r="J33" s="132">
        <f t="shared" si="0"/>
        <v>0.62551583472332006</v>
      </c>
      <c r="K33" s="132">
        <f t="shared" si="0"/>
        <v>0.62930001894065346</v>
      </c>
      <c r="L33" s="132">
        <f t="shared" si="0"/>
        <v>0.63307173603602807</v>
      </c>
      <c r="M33" s="132">
        <f t="shared" si="0"/>
        <v>0.6368306511756191</v>
      </c>
      <c r="N33" s="132">
        <f t="shared" si="0"/>
        <v>0.64057643321799129</v>
      </c>
      <c r="O33" s="132">
        <f t="shared" si="0"/>
        <v>0.64430875480054683</v>
      </c>
      <c r="P33" s="132">
        <f t="shared" si="0"/>
        <v>0.64802729242416279</v>
      </c>
      <c r="Q33" s="132">
        <f t="shared" si="0"/>
        <v>0.65173172653598244</v>
      </c>
    </row>
    <row r="34" spans="7:17">
      <c r="G34" s="133">
        <v>0.4</v>
      </c>
      <c r="H34" s="132">
        <f t="shared" si="0"/>
        <v>0.65542174161032429</v>
      </c>
      <c r="I34" s="132">
        <f t="shared" si="0"/>
        <v>0.65909702622767741</v>
      </c>
      <c r="J34" s="132">
        <f t="shared" si="0"/>
        <v>0.66275727315175059</v>
      </c>
      <c r="K34" s="132">
        <f t="shared" si="0"/>
        <v>0.66640217940454238</v>
      </c>
      <c r="L34" s="132">
        <f t="shared" si="0"/>
        <v>0.67003144633940637</v>
      </c>
      <c r="M34" s="132">
        <f t="shared" si="0"/>
        <v>0.67364477971208003</v>
      </c>
      <c r="N34" s="132">
        <f t="shared" si="0"/>
        <v>0.67724188974965227</v>
      </c>
      <c r="O34" s="132">
        <f t="shared" si="0"/>
        <v>0.6808224912174442</v>
      </c>
      <c r="P34" s="132">
        <f t="shared" si="0"/>
        <v>0.68438630348377749</v>
      </c>
      <c r="Q34" s="132">
        <f t="shared" si="0"/>
        <v>0.68793305058260945</v>
      </c>
    </row>
    <row r="35" spans="7:17">
      <c r="G35" s="134">
        <v>0.5</v>
      </c>
      <c r="H35" s="132">
        <f t="shared" si="0"/>
        <v>0.69146246127401312</v>
      </c>
      <c r="I35" s="132">
        <f t="shared" si="0"/>
        <v>0.69497426910248061</v>
      </c>
      <c r="J35" s="132">
        <f t="shared" si="0"/>
        <v>0.69846821245303381</v>
      </c>
      <c r="K35" s="132">
        <f t="shared" si="0"/>
        <v>0.70194403460512356</v>
      </c>
      <c r="L35" s="132">
        <f t="shared" si="0"/>
        <v>0.70540148378430201</v>
      </c>
      <c r="M35" s="132">
        <f t="shared" si="0"/>
        <v>0.70884031321165364</v>
      </c>
      <c r="N35" s="132">
        <f t="shared" si="0"/>
        <v>0.71226028115097295</v>
      </c>
      <c r="O35" s="132">
        <f t="shared" si="0"/>
        <v>0.71566115095367588</v>
      </c>
      <c r="P35" s="132">
        <f t="shared" si="0"/>
        <v>0.7190426911014357</v>
      </c>
      <c r="Q35" s="132">
        <f t="shared" si="0"/>
        <v>0.72240467524653507</v>
      </c>
    </row>
    <row r="36" spans="7:17">
      <c r="G36" s="133">
        <v>0.6</v>
      </c>
      <c r="H36" s="132">
        <f t="shared" si="0"/>
        <v>0.72574688224992645</v>
      </c>
      <c r="I36" s="132">
        <f t="shared" si="0"/>
        <v>0.72906909621699434</v>
      </c>
      <c r="J36" s="132">
        <f t="shared" si="0"/>
        <v>0.732371106531017</v>
      </c>
      <c r="K36" s="132">
        <f t="shared" si="0"/>
        <v>0.73565270788432247</v>
      </c>
      <c r="L36" s="132">
        <f t="shared" si="0"/>
        <v>0.73891370030713843</v>
      </c>
      <c r="M36" s="132">
        <f t="shared" si="0"/>
        <v>0.74215388919413527</v>
      </c>
      <c r="N36" s="132">
        <f t="shared" si="0"/>
        <v>0.74537308532866386</v>
      </c>
      <c r="O36" s="132">
        <f t="shared" si="0"/>
        <v>0.74857110490468992</v>
      </c>
      <c r="P36" s="132">
        <f t="shared" si="0"/>
        <v>0.75174776954642952</v>
      </c>
      <c r="Q36" s="132">
        <f t="shared" si="0"/>
        <v>0.75490290632569057</v>
      </c>
    </row>
    <row r="37" spans="7:17">
      <c r="G37" s="133">
        <v>0.7</v>
      </c>
      <c r="H37" s="132">
        <f t="shared" si="0"/>
        <v>0.75803634777692697</v>
      </c>
      <c r="I37" s="132">
        <f t="shared" si="0"/>
        <v>0.76114793191001329</v>
      </c>
      <c r="J37" s="132">
        <f t="shared" si="0"/>
        <v>0.76423750222074882</v>
      </c>
      <c r="K37" s="132">
        <f t="shared" si="0"/>
        <v>0.76730490769910253</v>
      </c>
      <c r="L37" s="132">
        <f t="shared" si="0"/>
        <v>0.77035000283520938</v>
      </c>
      <c r="M37" s="132">
        <f t="shared" si="0"/>
        <v>0.77337264762313174</v>
      </c>
      <c r="N37" s="132">
        <f t="shared" si="0"/>
        <v>0.77637270756240062</v>
      </c>
      <c r="O37" s="132">
        <f t="shared" si="0"/>
        <v>0.77935005365735044</v>
      </c>
      <c r="P37" s="132">
        <f t="shared" si="0"/>
        <v>0.78230456241426682</v>
      </c>
      <c r="Q37" s="132">
        <f t="shared" si="0"/>
        <v>0.78523611583636277</v>
      </c>
    </row>
    <row r="38" spans="7:17">
      <c r="G38" s="134">
        <v>0.8</v>
      </c>
      <c r="H38" s="132">
        <f t="shared" si="0"/>
        <v>0.78814460141660336</v>
      </c>
      <c r="I38" s="132">
        <f t="shared" si="0"/>
        <v>0.79102991212839835</v>
      </c>
      <c r="J38" s="132">
        <f t="shared" si="0"/>
        <v>0.79389194641418692</v>
      </c>
      <c r="K38" s="132">
        <f t="shared" si="0"/>
        <v>0.79673060817193164</v>
      </c>
      <c r="L38" s="132">
        <f t="shared" si="0"/>
        <v>0.79954580673955034</v>
      </c>
      <c r="M38" s="132">
        <f t="shared" si="0"/>
        <v>0.80233745687730762</v>
      </c>
      <c r="N38" s="132">
        <f t="shared" si="0"/>
        <v>0.80510547874819172</v>
      </c>
      <c r="O38" s="132">
        <f t="shared" si="0"/>
        <v>0.80784979789630385</v>
      </c>
      <c r="P38" s="132">
        <f t="shared" si="0"/>
        <v>0.81057034522328786</v>
      </c>
      <c r="Q38" s="132">
        <f t="shared" si="0"/>
        <v>0.81326705696282742</v>
      </c>
    </row>
    <row r="39" spans="7:17">
      <c r="G39" s="133">
        <v>0.9</v>
      </c>
      <c r="H39" s="132">
        <f t="shared" si="0"/>
        <v>0.81593987465324047</v>
      </c>
      <c r="I39" s="132">
        <f t="shared" si="0"/>
        <v>0.81858874510820279</v>
      </c>
      <c r="J39" s="132">
        <f t="shared" si="0"/>
        <v>0.82121362038562828</v>
      </c>
      <c r="K39" s="132">
        <f t="shared" si="0"/>
        <v>0.82381445775474216</v>
      </c>
      <c r="L39" s="132">
        <f t="shared" si="0"/>
        <v>0.82639121966137552</v>
      </c>
      <c r="M39" s="132">
        <f t="shared" si="0"/>
        <v>0.82894387369151823</v>
      </c>
      <c r="N39" s="132">
        <f t="shared" si="0"/>
        <v>0.83147239253316219</v>
      </c>
      <c r="O39" s="132">
        <f t="shared" si="0"/>
        <v>0.83397675393647042</v>
      </c>
      <c r="P39" s="132">
        <f t="shared" si="0"/>
        <v>0.83645694067230769</v>
      </c>
      <c r="Q39" s="132">
        <f t="shared" si="0"/>
        <v>0.83891294048916909</v>
      </c>
    </row>
    <row r="40" spans="7:17">
      <c r="G40" s="133">
        <v>1</v>
      </c>
      <c r="H40" s="132">
        <f t="shared" si="0"/>
        <v>0.84134474606854304</v>
      </c>
      <c r="I40" s="132">
        <f t="shared" si="0"/>
        <v>0.84375235497874546</v>
      </c>
      <c r="J40" s="132">
        <f t="shared" si="0"/>
        <v>0.84613576962726511</v>
      </c>
      <c r="K40" s="132">
        <f t="shared" si="0"/>
        <v>0.84849499721165633</v>
      </c>
      <c r="L40" s="132">
        <f t="shared" si="0"/>
        <v>0.85083004966901865</v>
      </c>
      <c r="M40" s="132">
        <f t="shared" si="0"/>
        <v>0.85314094362410409</v>
      </c>
      <c r="N40" s="132">
        <f t="shared" si="0"/>
        <v>0.85542770033609039</v>
      </c>
      <c r="O40" s="132">
        <f t="shared" si="0"/>
        <v>0.85769034564406077</v>
      </c>
      <c r="P40" s="132">
        <f t="shared" si="0"/>
        <v>0.85992890991123094</v>
      </c>
      <c r="Q40" s="132">
        <f t="shared" si="0"/>
        <v>0.8621434279679645</v>
      </c>
    </row>
  </sheetData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7"/>
  <dimension ref="B4:I14"/>
  <sheetViews>
    <sheetView showGridLines="0" workbookViewId="0">
      <selection activeCell="N24" sqref="N24"/>
    </sheetView>
  </sheetViews>
  <sheetFormatPr defaultRowHeight="14.4"/>
  <cols>
    <col min="3" max="3" width="4.33203125" customWidth="1"/>
    <col min="4" max="4" width="3.6640625" customWidth="1"/>
    <col min="8" max="8" width="3.6640625" customWidth="1"/>
  </cols>
  <sheetData>
    <row r="4" spans="2:9">
      <c r="C4" s="35"/>
      <c r="D4" s="35"/>
      <c r="E4" s="131" t="s">
        <v>11</v>
      </c>
      <c r="F4" s="131"/>
      <c r="G4" s="131"/>
      <c r="H4" s="35"/>
      <c r="I4" s="130" t="s">
        <v>102</v>
      </c>
    </row>
    <row r="5" spans="2:9">
      <c r="C5" s="35"/>
      <c r="D5" s="35"/>
      <c r="E5" s="129">
        <v>1</v>
      </c>
      <c r="F5" s="129">
        <v>2</v>
      </c>
      <c r="G5" s="129">
        <v>3</v>
      </c>
      <c r="H5" s="35"/>
      <c r="I5" s="128" t="s">
        <v>101</v>
      </c>
    </row>
    <row r="6" spans="2:9">
      <c r="C6" s="608" t="s">
        <v>100</v>
      </c>
      <c r="D6" s="127">
        <v>1</v>
      </c>
      <c r="E6" s="94">
        <v>0.06</v>
      </c>
      <c r="F6" s="94">
        <v>0.15</v>
      </c>
      <c r="G6" s="94">
        <v>0.09</v>
      </c>
      <c r="H6" s="35"/>
      <c r="I6" s="126">
        <f>SUM(E6:G6)</f>
        <v>0.3</v>
      </c>
    </row>
    <row r="7" spans="2:9">
      <c r="C7" s="608"/>
      <c r="D7" s="127">
        <v>2</v>
      </c>
      <c r="E7" s="94">
        <v>0.12</v>
      </c>
      <c r="F7" s="94">
        <v>0.3</v>
      </c>
      <c r="G7" s="94">
        <v>0.18</v>
      </c>
      <c r="H7" s="35"/>
      <c r="I7" s="126">
        <f>SUM(E7:G7)</f>
        <v>0.6</v>
      </c>
    </row>
    <row r="8" spans="2:9">
      <c r="C8" s="608"/>
      <c r="D8" s="127">
        <v>3</v>
      </c>
      <c r="E8" s="94">
        <v>0.02</v>
      </c>
      <c r="F8" s="94">
        <v>0.05</v>
      </c>
      <c r="G8" s="94">
        <v>0.03</v>
      </c>
      <c r="H8" s="35"/>
      <c r="I8" s="126">
        <f>SUM(E8:G8)</f>
        <v>0.1</v>
      </c>
    </row>
    <row r="10" spans="2:9">
      <c r="B10" s="125" t="s">
        <v>99</v>
      </c>
      <c r="C10" s="125"/>
      <c r="D10" s="125"/>
      <c r="E10" s="124">
        <f>SUM(E6:E8)</f>
        <v>0.19999999999999998</v>
      </c>
      <c r="F10" s="124">
        <f>SUM(F6:F8)</f>
        <v>0.49999999999999994</v>
      </c>
      <c r="G10" s="124">
        <f>SUM(G6:G8)</f>
        <v>0.30000000000000004</v>
      </c>
    </row>
    <row r="12" spans="2:9">
      <c r="B12" t="s">
        <v>98</v>
      </c>
      <c r="E12" s="121">
        <f t="shared" ref="E12:G14" si="0">E6/E$10</f>
        <v>0.3</v>
      </c>
      <c r="F12" s="121">
        <f t="shared" si="0"/>
        <v>0.30000000000000004</v>
      </c>
      <c r="G12" s="121">
        <f t="shared" si="0"/>
        <v>0.29999999999999993</v>
      </c>
      <c r="H12" s="123" t="s">
        <v>97</v>
      </c>
      <c r="I12" s="122"/>
    </row>
    <row r="13" spans="2:9">
      <c r="B13" t="s">
        <v>96</v>
      </c>
      <c r="E13" s="121">
        <f t="shared" si="0"/>
        <v>0.6</v>
      </c>
      <c r="F13" s="121">
        <f t="shared" si="0"/>
        <v>0.60000000000000009</v>
      </c>
      <c r="G13" s="121">
        <f t="shared" si="0"/>
        <v>0.59999999999999987</v>
      </c>
      <c r="H13" s="123" t="s">
        <v>95</v>
      </c>
      <c r="I13" s="122"/>
    </row>
    <row r="14" spans="2:9">
      <c r="B14" t="s">
        <v>94</v>
      </c>
      <c r="E14" s="121">
        <f t="shared" si="0"/>
        <v>0.1</v>
      </c>
      <c r="F14" s="121">
        <f t="shared" si="0"/>
        <v>0.10000000000000002</v>
      </c>
      <c r="G14" s="121">
        <f t="shared" si="0"/>
        <v>9.9999999999999978E-2</v>
      </c>
    </row>
  </sheetData>
  <mergeCells count="1">
    <mergeCell ref="C6:C8"/>
  </mergeCells>
  <pageMargins left="0.7" right="0.7" top="0.75" bottom="0.75" header="0.3" footer="0.3"/>
  <pageSetup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8"/>
  <dimension ref="A2:D90"/>
  <sheetViews>
    <sheetView showGridLines="0" workbookViewId="0">
      <selection activeCell="H36" sqref="H36"/>
    </sheetView>
  </sheetViews>
  <sheetFormatPr defaultRowHeight="14.4"/>
  <cols>
    <col min="1" max="4" width="9.109375" style="18"/>
    <col min="5" max="6" width="12" style="18" bestFit="1" customWidth="1"/>
    <col min="7" max="254" width="9.109375" style="18"/>
    <col min="255" max="255" width="3.6640625" style="18" customWidth="1"/>
    <col min="256" max="260" width="9.109375" style="18"/>
    <col min="261" max="262" width="12" style="18" bestFit="1" customWidth="1"/>
    <col min="263" max="510" width="9.109375" style="18"/>
    <col min="511" max="511" width="3.6640625" style="18" customWidth="1"/>
    <col min="512" max="516" width="9.109375" style="18"/>
    <col min="517" max="518" width="12" style="18" bestFit="1" customWidth="1"/>
    <col min="519" max="766" width="9.109375" style="18"/>
    <col min="767" max="767" width="3.6640625" style="18" customWidth="1"/>
    <col min="768" max="772" width="9.109375" style="18"/>
    <col min="773" max="774" width="12" style="18" bestFit="1" customWidth="1"/>
    <col min="775" max="1022" width="9.109375" style="18"/>
    <col min="1023" max="1023" width="3.6640625" style="18" customWidth="1"/>
    <col min="1024" max="1028" width="9.109375" style="18"/>
    <col min="1029" max="1030" width="12" style="18" bestFit="1" customWidth="1"/>
    <col min="1031" max="1278" width="9.109375" style="18"/>
    <col min="1279" max="1279" width="3.6640625" style="18" customWidth="1"/>
    <col min="1280" max="1284" width="9.109375" style="18"/>
    <col min="1285" max="1286" width="12" style="18" bestFit="1" customWidth="1"/>
    <col min="1287" max="1534" width="9.109375" style="18"/>
    <col min="1535" max="1535" width="3.6640625" style="18" customWidth="1"/>
    <col min="1536" max="1540" width="9.109375" style="18"/>
    <col min="1541" max="1542" width="12" style="18" bestFit="1" customWidth="1"/>
    <col min="1543" max="1790" width="9.109375" style="18"/>
    <col min="1791" max="1791" width="3.6640625" style="18" customWidth="1"/>
    <col min="1792" max="1796" width="9.109375" style="18"/>
    <col min="1797" max="1798" width="12" style="18" bestFit="1" customWidth="1"/>
    <col min="1799" max="2046" width="9.109375" style="18"/>
    <col min="2047" max="2047" width="3.6640625" style="18" customWidth="1"/>
    <col min="2048" max="2052" width="9.109375" style="18"/>
    <col min="2053" max="2054" width="12" style="18" bestFit="1" customWidth="1"/>
    <col min="2055" max="2302" width="9.109375" style="18"/>
    <col min="2303" max="2303" width="3.6640625" style="18" customWidth="1"/>
    <col min="2304" max="2308" width="9.109375" style="18"/>
    <col min="2309" max="2310" width="12" style="18" bestFit="1" customWidth="1"/>
    <col min="2311" max="2558" width="9.109375" style="18"/>
    <col min="2559" max="2559" width="3.6640625" style="18" customWidth="1"/>
    <col min="2560" max="2564" width="9.109375" style="18"/>
    <col min="2565" max="2566" width="12" style="18" bestFit="1" customWidth="1"/>
    <col min="2567" max="2814" width="9.109375" style="18"/>
    <col min="2815" max="2815" width="3.6640625" style="18" customWidth="1"/>
    <col min="2816" max="2820" width="9.109375" style="18"/>
    <col min="2821" max="2822" width="12" style="18" bestFit="1" customWidth="1"/>
    <col min="2823" max="3070" width="9.109375" style="18"/>
    <col min="3071" max="3071" width="3.6640625" style="18" customWidth="1"/>
    <col min="3072" max="3076" width="9.109375" style="18"/>
    <col min="3077" max="3078" width="12" style="18" bestFit="1" customWidth="1"/>
    <col min="3079" max="3326" width="9.109375" style="18"/>
    <col min="3327" max="3327" width="3.6640625" style="18" customWidth="1"/>
    <col min="3328" max="3332" width="9.109375" style="18"/>
    <col min="3333" max="3334" width="12" style="18" bestFit="1" customWidth="1"/>
    <col min="3335" max="3582" width="9.109375" style="18"/>
    <col min="3583" max="3583" width="3.6640625" style="18" customWidth="1"/>
    <col min="3584" max="3588" width="9.109375" style="18"/>
    <col min="3589" max="3590" width="12" style="18" bestFit="1" customWidth="1"/>
    <col min="3591" max="3838" width="9.109375" style="18"/>
    <col min="3839" max="3839" width="3.6640625" style="18" customWidth="1"/>
    <col min="3840" max="3844" width="9.109375" style="18"/>
    <col min="3845" max="3846" width="12" style="18" bestFit="1" customWidth="1"/>
    <col min="3847" max="4094" width="9.109375" style="18"/>
    <col min="4095" max="4095" width="3.6640625" style="18" customWidth="1"/>
    <col min="4096" max="4100" width="9.109375" style="18"/>
    <col min="4101" max="4102" width="12" style="18" bestFit="1" customWidth="1"/>
    <col min="4103" max="4350" width="9.109375" style="18"/>
    <col min="4351" max="4351" width="3.6640625" style="18" customWidth="1"/>
    <col min="4352" max="4356" width="9.109375" style="18"/>
    <col min="4357" max="4358" width="12" style="18" bestFit="1" customWidth="1"/>
    <col min="4359" max="4606" width="9.109375" style="18"/>
    <col min="4607" max="4607" width="3.6640625" style="18" customWidth="1"/>
    <col min="4608" max="4612" width="9.109375" style="18"/>
    <col min="4613" max="4614" width="12" style="18" bestFit="1" customWidth="1"/>
    <col min="4615" max="4862" width="9.109375" style="18"/>
    <col min="4863" max="4863" width="3.6640625" style="18" customWidth="1"/>
    <col min="4864" max="4868" width="9.109375" style="18"/>
    <col min="4869" max="4870" width="12" style="18" bestFit="1" customWidth="1"/>
    <col min="4871" max="5118" width="9.109375" style="18"/>
    <col min="5119" max="5119" width="3.6640625" style="18" customWidth="1"/>
    <col min="5120" max="5124" width="9.109375" style="18"/>
    <col min="5125" max="5126" width="12" style="18" bestFit="1" customWidth="1"/>
    <col min="5127" max="5374" width="9.109375" style="18"/>
    <col min="5375" max="5375" width="3.6640625" style="18" customWidth="1"/>
    <col min="5376" max="5380" width="9.109375" style="18"/>
    <col min="5381" max="5382" width="12" style="18" bestFit="1" customWidth="1"/>
    <col min="5383" max="5630" width="9.109375" style="18"/>
    <col min="5631" max="5631" width="3.6640625" style="18" customWidth="1"/>
    <col min="5632" max="5636" width="9.109375" style="18"/>
    <col min="5637" max="5638" width="12" style="18" bestFit="1" customWidth="1"/>
    <col min="5639" max="5886" width="9.109375" style="18"/>
    <col min="5887" max="5887" width="3.6640625" style="18" customWidth="1"/>
    <col min="5888" max="5892" width="9.109375" style="18"/>
    <col min="5893" max="5894" width="12" style="18" bestFit="1" customWidth="1"/>
    <col min="5895" max="6142" width="9.109375" style="18"/>
    <col min="6143" max="6143" width="3.6640625" style="18" customWidth="1"/>
    <col min="6144" max="6148" width="9.109375" style="18"/>
    <col min="6149" max="6150" width="12" style="18" bestFit="1" customWidth="1"/>
    <col min="6151" max="6398" width="9.109375" style="18"/>
    <col min="6399" max="6399" width="3.6640625" style="18" customWidth="1"/>
    <col min="6400" max="6404" width="9.109375" style="18"/>
    <col min="6405" max="6406" width="12" style="18" bestFit="1" customWidth="1"/>
    <col min="6407" max="6654" width="9.109375" style="18"/>
    <col min="6655" max="6655" width="3.6640625" style="18" customWidth="1"/>
    <col min="6656" max="6660" width="9.109375" style="18"/>
    <col min="6661" max="6662" width="12" style="18" bestFit="1" customWidth="1"/>
    <col min="6663" max="6910" width="9.109375" style="18"/>
    <col min="6911" max="6911" width="3.6640625" style="18" customWidth="1"/>
    <col min="6912" max="6916" width="9.109375" style="18"/>
    <col min="6917" max="6918" width="12" style="18" bestFit="1" customWidth="1"/>
    <col min="6919" max="7166" width="9.109375" style="18"/>
    <col min="7167" max="7167" width="3.6640625" style="18" customWidth="1"/>
    <col min="7168" max="7172" width="9.109375" style="18"/>
    <col min="7173" max="7174" width="12" style="18" bestFit="1" customWidth="1"/>
    <col min="7175" max="7422" width="9.109375" style="18"/>
    <col min="7423" max="7423" width="3.6640625" style="18" customWidth="1"/>
    <col min="7424" max="7428" width="9.109375" style="18"/>
    <col min="7429" max="7430" width="12" style="18" bestFit="1" customWidth="1"/>
    <col min="7431" max="7678" width="9.109375" style="18"/>
    <col min="7679" max="7679" width="3.6640625" style="18" customWidth="1"/>
    <col min="7680" max="7684" width="9.109375" style="18"/>
    <col min="7685" max="7686" width="12" style="18" bestFit="1" customWidth="1"/>
    <col min="7687" max="7934" width="9.109375" style="18"/>
    <col min="7935" max="7935" width="3.6640625" style="18" customWidth="1"/>
    <col min="7936" max="7940" width="9.109375" style="18"/>
    <col min="7941" max="7942" width="12" style="18" bestFit="1" customWidth="1"/>
    <col min="7943" max="8190" width="9.109375" style="18"/>
    <col min="8191" max="8191" width="3.6640625" style="18" customWidth="1"/>
    <col min="8192" max="8196" width="9.109375" style="18"/>
    <col min="8197" max="8198" width="12" style="18" bestFit="1" customWidth="1"/>
    <col min="8199" max="8446" width="9.109375" style="18"/>
    <col min="8447" max="8447" width="3.6640625" style="18" customWidth="1"/>
    <col min="8448" max="8452" width="9.109375" style="18"/>
    <col min="8453" max="8454" width="12" style="18" bestFit="1" customWidth="1"/>
    <col min="8455" max="8702" width="9.109375" style="18"/>
    <col min="8703" max="8703" width="3.6640625" style="18" customWidth="1"/>
    <col min="8704" max="8708" width="9.109375" style="18"/>
    <col min="8709" max="8710" width="12" style="18" bestFit="1" customWidth="1"/>
    <col min="8711" max="8958" width="9.109375" style="18"/>
    <col min="8959" max="8959" width="3.6640625" style="18" customWidth="1"/>
    <col min="8960" max="8964" width="9.109375" style="18"/>
    <col min="8965" max="8966" width="12" style="18" bestFit="1" customWidth="1"/>
    <col min="8967" max="9214" width="9.109375" style="18"/>
    <col min="9215" max="9215" width="3.6640625" style="18" customWidth="1"/>
    <col min="9216" max="9220" width="9.109375" style="18"/>
    <col min="9221" max="9222" width="12" style="18" bestFit="1" customWidth="1"/>
    <col min="9223" max="9470" width="9.109375" style="18"/>
    <col min="9471" max="9471" width="3.6640625" style="18" customWidth="1"/>
    <col min="9472" max="9476" width="9.109375" style="18"/>
    <col min="9477" max="9478" width="12" style="18" bestFit="1" customWidth="1"/>
    <col min="9479" max="9726" width="9.109375" style="18"/>
    <col min="9727" max="9727" width="3.6640625" style="18" customWidth="1"/>
    <col min="9728" max="9732" width="9.109375" style="18"/>
    <col min="9733" max="9734" width="12" style="18" bestFit="1" customWidth="1"/>
    <col min="9735" max="9982" width="9.109375" style="18"/>
    <col min="9983" max="9983" width="3.6640625" style="18" customWidth="1"/>
    <col min="9984" max="9988" width="9.109375" style="18"/>
    <col min="9989" max="9990" width="12" style="18" bestFit="1" customWidth="1"/>
    <col min="9991" max="10238" width="9.109375" style="18"/>
    <col min="10239" max="10239" width="3.6640625" style="18" customWidth="1"/>
    <col min="10240" max="10244" width="9.109375" style="18"/>
    <col min="10245" max="10246" width="12" style="18" bestFit="1" customWidth="1"/>
    <col min="10247" max="10494" width="9.109375" style="18"/>
    <col min="10495" max="10495" width="3.6640625" style="18" customWidth="1"/>
    <col min="10496" max="10500" width="9.109375" style="18"/>
    <col min="10501" max="10502" width="12" style="18" bestFit="1" customWidth="1"/>
    <col min="10503" max="10750" width="9.109375" style="18"/>
    <col min="10751" max="10751" width="3.6640625" style="18" customWidth="1"/>
    <col min="10752" max="10756" width="9.109375" style="18"/>
    <col min="10757" max="10758" width="12" style="18" bestFit="1" customWidth="1"/>
    <col min="10759" max="11006" width="9.109375" style="18"/>
    <col min="11007" max="11007" width="3.6640625" style="18" customWidth="1"/>
    <col min="11008" max="11012" width="9.109375" style="18"/>
    <col min="11013" max="11014" width="12" style="18" bestFit="1" customWidth="1"/>
    <col min="11015" max="11262" width="9.109375" style="18"/>
    <col min="11263" max="11263" width="3.6640625" style="18" customWidth="1"/>
    <col min="11264" max="11268" width="9.109375" style="18"/>
    <col min="11269" max="11270" width="12" style="18" bestFit="1" customWidth="1"/>
    <col min="11271" max="11518" width="9.109375" style="18"/>
    <col min="11519" max="11519" width="3.6640625" style="18" customWidth="1"/>
    <col min="11520" max="11524" width="9.109375" style="18"/>
    <col min="11525" max="11526" width="12" style="18" bestFit="1" customWidth="1"/>
    <col min="11527" max="11774" width="9.109375" style="18"/>
    <col min="11775" max="11775" width="3.6640625" style="18" customWidth="1"/>
    <col min="11776" max="11780" width="9.109375" style="18"/>
    <col min="11781" max="11782" width="12" style="18" bestFit="1" customWidth="1"/>
    <col min="11783" max="12030" width="9.109375" style="18"/>
    <col min="12031" max="12031" width="3.6640625" style="18" customWidth="1"/>
    <col min="12032" max="12036" width="9.109375" style="18"/>
    <col min="12037" max="12038" width="12" style="18" bestFit="1" customWidth="1"/>
    <col min="12039" max="12286" width="9.109375" style="18"/>
    <col min="12287" max="12287" width="3.6640625" style="18" customWidth="1"/>
    <col min="12288" max="12292" width="9.109375" style="18"/>
    <col min="12293" max="12294" width="12" style="18" bestFit="1" customWidth="1"/>
    <col min="12295" max="12542" width="9.109375" style="18"/>
    <col min="12543" max="12543" width="3.6640625" style="18" customWidth="1"/>
    <col min="12544" max="12548" width="9.109375" style="18"/>
    <col min="12549" max="12550" width="12" style="18" bestFit="1" customWidth="1"/>
    <col min="12551" max="12798" width="9.109375" style="18"/>
    <col min="12799" max="12799" width="3.6640625" style="18" customWidth="1"/>
    <col min="12800" max="12804" width="9.109375" style="18"/>
    <col min="12805" max="12806" width="12" style="18" bestFit="1" customWidth="1"/>
    <col min="12807" max="13054" width="9.109375" style="18"/>
    <col min="13055" max="13055" width="3.6640625" style="18" customWidth="1"/>
    <col min="13056" max="13060" width="9.109375" style="18"/>
    <col min="13061" max="13062" width="12" style="18" bestFit="1" customWidth="1"/>
    <col min="13063" max="13310" width="9.109375" style="18"/>
    <col min="13311" max="13311" width="3.6640625" style="18" customWidth="1"/>
    <col min="13312" max="13316" width="9.109375" style="18"/>
    <col min="13317" max="13318" width="12" style="18" bestFit="1" customWidth="1"/>
    <col min="13319" max="13566" width="9.109375" style="18"/>
    <col min="13567" max="13567" width="3.6640625" style="18" customWidth="1"/>
    <col min="13568" max="13572" width="9.109375" style="18"/>
    <col min="13573" max="13574" width="12" style="18" bestFit="1" customWidth="1"/>
    <col min="13575" max="13822" width="9.109375" style="18"/>
    <col min="13823" max="13823" width="3.6640625" style="18" customWidth="1"/>
    <col min="13824" max="13828" width="9.109375" style="18"/>
    <col min="13829" max="13830" width="12" style="18" bestFit="1" customWidth="1"/>
    <col min="13831" max="14078" width="9.109375" style="18"/>
    <col min="14079" max="14079" width="3.6640625" style="18" customWidth="1"/>
    <col min="14080" max="14084" width="9.109375" style="18"/>
    <col min="14085" max="14086" width="12" style="18" bestFit="1" customWidth="1"/>
    <col min="14087" max="14334" width="9.109375" style="18"/>
    <col min="14335" max="14335" width="3.6640625" style="18" customWidth="1"/>
    <col min="14336" max="14340" width="9.109375" style="18"/>
    <col min="14341" max="14342" width="12" style="18" bestFit="1" customWidth="1"/>
    <col min="14343" max="14590" width="9.109375" style="18"/>
    <col min="14591" max="14591" width="3.6640625" style="18" customWidth="1"/>
    <col min="14592" max="14596" width="9.109375" style="18"/>
    <col min="14597" max="14598" width="12" style="18" bestFit="1" customWidth="1"/>
    <col min="14599" max="14846" width="9.109375" style="18"/>
    <col min="14847" max="14847" width="3.6640625" style="18" customWidth="1"/>
    <col min="14848" max="14852" width="9.109375" style="18"/>
    <col min="14853" max="14854" width="12" style="18" bestFit="1" customWidth="1"/>
    <col min="14855" max="15102" width="9.109375" style="18"/>
    <col min="15103" max="15103" width="3.6640625" style="18" customWidth="1"/>
    <col min="15104" max="15108" width="9.109375" style="18"/>
    <col min="15109" max="15110" width="12" style="18" bestFit="1" customWidth="1"/>
    <col min="15111" max="15358" width="9.109375" style="18"/>
    <col min="15359" max="15359" width="3.6640625" style="18" customWidth="1"/>
    <col min="15360" max="15364" width="9.109375" style="18"/>
    <col min="15365" max="15366" width="12" style="18" bestFit="1" customWidth="1"/>
    <col min="15367" max="15614" width="9.109375" style="18"/>
    <col min="15615" max="15615" width="3.6640625" style="18" customWidth="1"/>
    <col min="15616" max="15620" width="9.109375" style="18"/>
    <col min="15621" max="15622" width="12" style="18" bestFit="1" customWidth="1"/>
    <col min="15623" max="15870" width="9.109375" style="18"/>
    <col min="15871" max="15871" width="3.6640625" style="18" customWidth="1"/>
    <col min="15872" max="15876" width="9.109375" style="18"/>
    <col min="15877" max="15878" width="12" style="18" bestFit="1" customWidth="1"/>
    <col min="15879" max="16126" width="9.109375" style="18"/>
    <col min="16127" max="16127" width="3.6640625" style="18" customWidth="1"/>
    <col min="16128" max="16132" width="9.109375" style="18"/>
    <col min="16133" max="16134" width="12" style="18" bestFit="1" customWidth="1"/>
    <col min="16135" max="16384" width="9.109375" style="18"/>
  </cols>
  <sheetData>
    <row r="2" spans="2:3">
      <c r="C2" s="23" t="s">
        <v>10</v>
      </c>
    </row>
    <row r="3" spans="2:3">
      <c r="B3" s="18" t="s">
        <v>14</v>
      </c>
      <c r="C3" s="18">
        <v>0</v>
      </c>
    </row>
    <row r="4" spans="2:3">
      <c r="B4" s="18" t="s">
        <v>13</v>
      </c>
      <c r="C4" s="18">
        <v>1</v>
      </c>
    </row>
    <row r="5" spans="2:3">
      <c r="B5" s="18" t="s">
        <v>12</v>
      </c>
      <c r="C5" s="18">
        <f>SQRT(C4)</f>
        <v>1</v>
      </c>
    </row>
    <row r="7" spans="2:3">
      <c r="B7" s="24" t="s">
        <v>11</v>
      </c>
      <c r="C7" s="23" t="s">
        <v>10</v>
      </c>
    </row>
    <row r="8" spans="2:3">
      <c r="B8" s="20">
        <v>-4</v>
      </c>
      <c r="C8" s="19">
        <f t="shared" ref="C8:C39" si="0">NORMDIST(B8,$C$3,$C$5,FALSE)</f>
        <v>1.3383022576488537E-4</v>
      </c>
    </row>
    <row r="9" spans="2:3">
      <c r="B9" s="20">
        <f t="shared" ref="B9:B24" si="1">B8+0.1</f>
        <v>-3.9</v>
      </c>
      <c r="C9" s="19">
        <f t="shared" si="0"/>
        <v>1.9865547139277272E-4</v>
      </c>
    </row>
    <row r="10" spans="2:3">
      <c r="B10" s="20">
        <f t="shared" si="1"/>
        <v>-3.8</v>
      </c>
      <c r="C10" s="19">
        <f t="shared" si="0"/>
        <v>2.9194692579146027E-4</v>
      </c>
    </row>
    <row r="11" spans="2:3">
      <c r="B11" s="20">
        <f t="shared" si="1"/>
        <v>-3.6999999999999997</v>
      </c>
      <c r="C11" s="19">
        <f t="shared" si="0"/>
        <v>4.2478027055075219E-4</v>
      </c>
    </row>
    <row r="12" spans="2:3">
      <c r="B12" s="20">
        <f t="shared" si="1"/>
        <v>-3.5999999999999996</v>
      </c>
      <c r="C12" s="19">
        <f t="shared" si="0"/>
        <v>6.1190193011377298E-4</v>
      </c>
    </row>
    <row r="13" spans="2:3">
      <c r="B13" s="20">
        <f t="shared" si="1"/>
        <v>-3.4999999999999996</v>
      </c>
      <c r="C13" s="19">
        <f t="shared" si="0"/>
        <v>8.7268269504576167E-4</v>
      </c>
    </row>
    <row r="14" spans="2:3">
      <c r="B14" s="20">
        <f t="shared" si="1"/>
        <v>-3.3999999999999995</v>
      </c>
      <c r="C14" s="19">
        <f t="shared" si="0"/>
        <v>1.232219168473021E-3</v>
      </c>
    </row>
    <row r="15" spans="2:3">
      <c r="B15" s="20">
        <f t="shared" si="1"/>
        <v>-3.2999999999999994</v>
      </c>
      <c r="C15" s="19">
        <f t="shared" si="0"/>
        <v>1.7225689390536843E-3</v>
      </c>
    </row>
    <row r="16" spans="2:3">
      <c r="B16" s="20">
        <f t="shared" si="1"/>
        <v>-3.1999999999999993</v>
      </c>
      <c r="C16" s="19">
        <f t="shared" si="0"/>
        <v>2.3840882014648486E-3</v>
      </c>
    </row>
    <row r="17" spans="1:4">
      <c r="B17" s="20">
        <f t="shared" si="1"/>
        <v>-3.0999999999999992</v>
      </c>
      <c r="C17" s="19">
        <f t="shared" si="0"/>
        <v>3.2668190561999273E-3</v>
      </c>
    </row>
    <row r="18" spans="1:4">
      <c r="B18" s="20">
        <f t="shared" si="1"/>
        <v>-2.9999999999999991</v>
      </c>
      <c r="C18" s="19">
        <f t="shared" si="0"/>
        <v>4.4318484119380188E-3</v>
      </c>
    </row>
    <row r="19" spans="1:4">
      <c r="B19" s="20">
        <f t="shared" si="1"/>
        <v>-2.899999999999999</v>
      </c>
      <c r="C19" s="19">
        <f t="shared" si="0"/>
        <v>5.9525324197758694E-3</v>
      </c>
    </row>
    <row r="20" spans="1:4">
      <c r="B20" s="20">
        <f t="shared" si="1"/>
        <v>-2.7999999999999989</v>
      </c>
      <c r="C20" s="19">
        <f t="shared" si="0"/>
        <v>7.9154515829799894E-3</v>
      </c>
    </row>
    <row r="21" spans="1:4">
      <c r="B21" s="20">
        <f t="shared" si="1"/>
        <v>-2.6999999999999988</v>
      </c>
      <c r="C21" s="19">
        <f t="shared" si="0"/>
        <v>1.0420934814422628E-2</v>
      </c>
    </row>
    <row r="22" spans="1:4">
      <c r="B22" s="20">
        <f t="shared" si="1"/>
        <v>-2.5999999999999988</v>
      </c>
      <c r="C22" s="19">
        <f t="shared" si="0"/>
        <v>1.3582969233685661E-2</v>
      </c>
    </row>
    <row r="23" spans="1:4">
      <c r="B23" s="20">
        <f t="shared" si="1"/>
        <v>-2.4999999999999987</v>
      </c>
      <c r="C23" s="19">
        <f t="shared" si="0"/>
        <v>1.7528300493568599E-2</v>
      </c>
    </row>
    <row r="24" spans="1:4">
      <c r="B24" s="20">
        <f t="shared" si="1"/>
        <v>-2.3999999999999986</v>
      </c>
      <c r="C24" s="19">
        <f t="shared" si="0"/>
        <v>2.2394530294842969E-2</v>
      </c>
    </row>
    <row r="25" spans="1:4">
      <c r="A25" s="22">
        <v>0.01</v>
      </c>
      <c r="B25" s="20">
        <f>_xlfn.NORM.S.INV(A25)</f>
        <v>-2.3263478740408408</v>
      </c>
      <c r="C25" s="19">
        <f t="shared" si="0"/>
        <v>2.665214220345808E-2</v>
      </c>
      <c r="D25" s="21">
        <f>C25</f>
        <v>2.665214220345808E-2</v>
      </c>
    </row>
    <row r="26" spans="1:4">
      <c r="B26" s="20">
        <f>B24+0.1</f>
        <v>-2.2999999999999985</v>
      </c>
      <c r="C26" s="19">
        <f t="shared" si="0"/>
        <v>2.8327037741601276E-2</v>
      </c>
    </row>
    <row r="27" spans="1:4">
      <c r="B27" s="20">
        <f t="shared" ref="B27:B32" si="2">B26+0.1</f>
        <v>-2.1999999999999984</v>
      </c>
      <c r="C27" s="19">
        <f t="shared" si="0"/>
        <v>3.547459284623157E-2</v>
      </c>
    </row>
    <row r="28" spans="1:4">
      <c r="B28" s="20">
        <f t="shared" si="2"/>
        <v>-2.0999999999999983</v>
      </c>
      <c r="C28" s="19">
        <f t="shared" si="0"/>
        <v>4.3983595980427351E-2</v>
      </c>
    </row>
    <row r="29" spans="1:4">
      <c r="B29" s="20">
        <f t="shared" si="2"/>
        <v>-1.9999999999999982</v>
      </c>
      <c r="C29" s="19">
        <f t="shared" si="0"/>
        <v>5.399096651318825E-2</v>
      </c>
    </row>
    <row r="30" spans="1:4">
      <c r="B30" s="20">
        <f t="shared" si="2"/>
        <v>-1.8999999999999981</v>
      </c>
      <c r="C30" s="19">
        <f t="shared" si="0"/>
        <v>6.5615814774676831E-2</v>
      </c>
    </row>
    <row r="31" spans="1:4">
      <c r="B31" s="20">
        <f t="shared" si="2"/>
        <v>-1.799999999999998</v>
      </c>
      <c r="C31" s="19">
        <f t="shared" si="0"/>
        <v>7.8950158300894427E-2</v>
      </c>
    </row>
    <row r="32" spans="1:4">
      <c r="B32" s="20">
        <f t="shared" si="2"/>
        <v>-1.699999999999998</v>
      </c>
      <c r="C32" s="19">
        <f t="shared" si="0"/>
        <v>9.4049077376887252E-2</v>
      </c>
    </row>
    <row r="33" spans="1:4">
      <c r="A33" s="22">
        <v>0.05</v>
      </c>
      <c r="B33" s="20">
        <f>_xlfn.NORM.S.INV(A33)</f>
        <v>-1.6448536269514726</v>
      </c>
      <c r="C33" s="19">
        <f t="shared" si="0"/>
        <v>0.10313564037537132</v>
      </c>
      <c r="D33" s="21">
        <f>C33</f>
        <v>0.10313564037537132</v>
      </c>
    </row>
    <row r="34" spans="1:4">
      <c r="B34" s="20">
        <f>B32+0.1</f>
        <v>-1.5999999999999979</v>
      </c>
      <c r="C34" s="19">
        <f t="shared" si="0"/>
        <v>0.11092083467945592</v>
      </c>
    </row>
    <row r="35" spans="1:4">
      <c r="B35" s="20">
        <f t="shared" ref="B35:B66" si="3">B34+0.1</f>
        <v>-1.4999999999999978</v>
      </c>
      <c r="C35" s="19">
        <f t="shared" si="0"/>
        <v>0.12951759566589216</v>
      </c>
    </row>
    <row r="36" spans="1:4">
      <c r="B36" s="20">
        <f t="shared" si="3"/>
        <v>-1.3999999999999977</v>
      </c>
      <c r="C36" s="19">
        <f t="shared" si="0"/>
        <v>0.14972746563574535</v>
      </c>
    </row>
    <row r="37" spans="1:4">
      <c r="B37" s="20">
        <f t="shared" si="3"/>
        <v>-1.2999999999999976</v>
      </c>
      <c r="C37" s="19">
        <f t="shared" si="0"/>
        <v>0.17136859204780791</v>
      </c>
    </row>
    <row r="38" spans="1:4">
      <c r="B38" s="20">
        <f t="shared" si="3"/>
        <v>-1.1999999999999975</v>
      </c>
      <c r="C38" s="19">
        <f t="shared" si="0"/>
        <v>0.19418605498321354</v>
      </c>
    </row>
    <row r="39" spans="1:4">
      <c r="B39" s="20">
        <f t="shared" si="3"/>
        <v>-1.0999999999999974</v>
      </c>
      <c r="C39" s="19">
        <f t="shared" si="0"/>
        <v>0.21785217703255116</v>
      </c>
    </row>
    <row r="40" spans="1:4">
      <c r="B40" s="20">
        <f t="shared" si="3"/>
        <v>-0.99999999999999745</v>
      </c>
      <c r="C40" s="19">
        <f t="shared" ref="C40:C71" si="4">NORMDIST(B40,$C$3,$C$5,FALSE)</f>
        <v>0.24197072451914398</v>
      </c>
    </row>
    <row r="41" spans="1:4">
      <c r="B41" s="20">
        <f t="shared" si="3"/>
        <v>-0.89999999999999747</v>
      </c>
      <c r="C41" s="19">
        <f t="shared" si="4"/>
        <v>0.26608524989875543</v>
      </c>
    </row>
    <row r="42" spans="1:4">
      <c r="B42" s="20">
        <f t="shared" si="3"/>
        <v>-0.79999999999999749</v>
      </c>
      <c r="C42" s="19">
        <f t="shared" si="4"/>
        <v>0.28969155276148334</v>
      </c>
    </row>
    <row r="43" spans="1:4">
      <c r="B43" s="20">
        <f t="shared" si="3"/>
        <v>-0.69999999999999751</v>
      </c>
      <c r="C43" s="19">
        <f t="shared" si="4"/>
        <v>0.31225393336676183</v>
      </c>
    </row>
    <row r="44" spans="1:4">
      <c r="B44" s="20">
        <f t="shared" si="3"/>
        <v>-0.59999999999999754</v>
      </c>
      <c r="C44" s="19">
        <f t="shared" si="4"/>
        <v>0.33322460289180011</v>
      </c>
    </row>
    <row r="45" spans="1:4">
      <c r="B45" s="20">
        <f t="shared" si="3"/>
        <v>-0.49999999999999756</v>
      </c>
      <c r="C45" s="19">
        <f t="shared" si="4"/>
        <v>0.35206532676429991</v>
      </c>
    </row>
    <row r="46" spans="1:4">
      <c r="B46" s="20">
        <f t="shared" si="3"/>
        <v>-0.39999999999999758</v>
      </c>
      <c r="C46" s="19">
        <f t="shared" si="4"/>
        <v>0.36827014030332367</v>
      </c>
    </row>
    <row r="47" spans="1:4">
      <c r="B47" s="20">
        <f t="shared" si="3"/>
        <v>-0.2999999999999976</v>
      </c>
      <c r="C47" s="19">
        <f t="shared" si="4"/>
        <v>0.38138781546052442</v>
      </c>
    </row>
    <row r="48" spans="1:4">
      <c r="B48" s="20">
        <f t="shared" si="3"/>
        <v>-0.1999999999999976</v>
      </c>
      <c r="C48" s="19">
        <f t="shared" si="4"/>
        <v>0.3910426939754561</v>
      </c>
    </row>
    <row r="49" spans="2:3">
      <c r="B49" s="20">
        <f t="shared" si="3"/>
        <v>-9.9999999999997591E-2</v>
      </c>
      <c r="C49" s="19">
        <f t="shared" si="4"/>
        <v>0.39695254747701186</v>
      </c>
    </row>
    <row r="50" spans="2:3">
      <c r="B50" s="20">
        <f t="shared" si="3"/>
        <v>2.4147350785597155E-15</v>
      </c>
      <c r="C50" s="19">
        <f t="shared" si="4"/>
        <v>0.3989422804014327</v>
      </c>
    </row>
    <row r="51" spans="2:3">
      <c r="B51" s="20">
        <f t="shared" si="3"/>
        <v>0.10000000000000242</v>
      </c>
      <c r="C51" s="19">
        <f t="shared" si="4"/>
        <v>0.3969525474770117</v>
      </c>
    </row>
    <row r="52" spans="2:3">
      <c r="B52" s="20">
        <f t="shared" si="3"/>
        <v>0.20000000000000243</v>
      </c>
      <c r="C52" s="19">
        <f t="shared" si="4"/>
        <v>0.39104269397545571</v>
      </c>
    </row>
    <row r="53" spans="2:3">
      <c r="B53" s="20">
        <f t="shared" si="3"/>
        <v>0.30000000000000243</v>
      </c>
      <c r="C53" s="19">
        <f t="shared" si="4"/>
        <v>0.3813878154605238</v>
      </c>
    </row>
    <row r="54" spans="2:3">
      <c r="B54" s="20">
        <f t="shared" si="3"/>
        <v>0.40000000000000246</v>
      </c>
      <c r="C54" s="19">
        <f t="shared" si="4"/>
        <v>0.36827014030332295</v>
      </c>
    </row>
    <row r="55" spans="2:3">
      <c r="B55" s="20">
        <f t="shared" si="3"/>
        <v>0.50000000000000244</v>
      </c>
      <c r="C55" s="19">
        <f t="shared" si="4"/>
        <v>0.35206532676429908</v>
      </c>
    </row>
    <row r="56" spans="2:3">
      <c r="B56" s="20">
        <f t="shared" si="3"/>
        <v>0.60000000000000242</v>
      </c>
      <c r="C56" s="19">
        <f t="shared" si="4"/>
        <v>0.33322460289179917</v>
      </c>
    </row>
    <row r="57" spans="2:3">
      <c r="B57" s="20">
        <f t="shared" si="3"/>
        <v>0.7000000000000024</v>
      </c>
      <c r="C57" s="19">
        <f t="shared" si="4"/>
        <v>0.31225393336676072</v>
      </c>
    </row>
    <row r="58" spans="2:3">
      <c r="B58" s="20">
        <f t="shared" si="3"/>
        <v>0.80000000000000238</v>
      </c>
      <c r="C58" s="19">
        <f t="shared" si="4"/>
        <v>0.28969155276148217</v>
      </c>
    </row>
    <row r="59" spans="2:3">
      <c r="B59" s="20">
        <f t="shared" si="3"/>
        <v>0.90000000000000235</v>
      </c>
      <c r="C59" s="19">
        <f t="shared" si="4"/>
        <v>0.26608524989875426</v>
      </c>
    </row>
    <row r="60" spans="2:3">
      <c r="B60" s="20">
        <f t="shared" si="3"/>
        <v>1.0000000000000024</v>
      </c>
      <c r="C60" s="19">
        <f t="shared" si="4"/>
        <v>0.24197072451914278</v>
      </c>
    </row>
    <row r="61" spans="2:3">
      <c r="B61" s="20">
        <f t="shared" si="3"/>
        <v>1.1000000000000025</v>
      </c>
      <c r="C61" s="19">
        <f t="shared" si="4"/>
        <v>0.21785217703254997</v>
      </c>
    </row>
    <row r="62" spans="2:3">
      <c r="B62" s="20">
        <f t="shared" si="3"/>
        <v>1.2000000000000026</v>
      </c>
      <c r="C62" s="19">
        <f t="shared" si="4"/>
        <v>0.19418605498321231</v>
      </c>
    </row>
    <row r="63" spans="2:3">
      <c r="B63" s="20">
        <f t="shared" si="3"/>
        <v>1.3000000000000027</v>
      </c>
      <c r="C63" s="19">
        <f t="shared" si="4"/>
        <v>0.17136859204780677</v>
      </c>
    </row>
    <row r="64" spans="2:3">
      <c r="B64" s="20">
        <f t="shared" si="3"/>
        <v>1.4000000000000028</v>
      </c>
      <c r="C64" s="19">
        <f t="shared" si="4"/>
        <v>0.14972746563574427</v>
      </c>
    </row>
    <row r="65" spans="2:3">
      <c r="B65" s="20">
        <f t="shared" si="3"/>
        <v>1.5000000000000029</v>
      </c>
      <c r="C65" s="19">
        <f t="shared" si="4"/>
        <v>0.12951759566589116</v>
      </c>
    </row>
    <row r="66" spans="2:3">
      <c r="B66" s="20">
        <f t="shared" si="3"/>
        <v>1.600000000000003</v>
      </c>
      <c r="C66" s="19">
        <f t="shared" si="4"/>
        <v>0.11092083467945503</v>
      </c>
    </row>
    <row r="67" spans="2:3">
      <c r="B67" s="20">
        <f t="shared" ref="B67:B90" si="5">B66+0.1</f>
        <v>1.7000000000000031</v>
      </c>
      <c r="C67" s="19">
        <f t="shared" si="4"/>
        <v>9.4049077376886434E-2</v>
      </c>
    </row>
    <row r="68" spans="2:3">
      <c r="B68" s="20">
        <f t="shared" si="5"/>
        <v>1.8000000000000032</v>
      </c>
      <c r="C68" s="19">
        <f t="shared" si="4"/>
        <v>7.8950158300893719E-2</v>
      </c>
    </row>
    <row r="69" spans="2:3">
      <c r="B69" s="20">
        <f t="shared" si="5"/>
        <v>1.9000000000000032</v>
      </c>
      <c r="C69" s="19">
        <f t="shared" si="4"/>
        <v>6.5615814774676193E-2</v>
      </c>
    </row>
    <row r="70" spans="2:3">
      <c r="B70" s="20">
        <f t="shared" si="5"/>
        <v>2.0000000000000031</v>
      </c>
      <c r="C70" s="19">
        <f t="shared" si="4"/>
        <v>5.3990966513187716E-2</v>
      </c>
    </row>
    <row r="71" spans="2:3">
      <c r="B71" s="20">
        <f t="shared" si="5"/>
        <v>2.1000000000000032</v>
      </c>
      <c r="C71" s="19">
        <f t="shared" si="4"/>
        <v>4.39835959804269E-2</v>
      </c>
    </row>
    <row r="72" spans="2:3">
      <c r="B72" s="20">
        <f t="shared" si="5"/>
        <v>2.2000000000000033</v>
      </c>
      <c r="C72" s="19">
        <f t="shared" ref="C72:C90" si="6">NORMDIST(B72,$C$3,$C$5,FALSE)</f>
        <v>3.5474592846231189E-2</v>
      </c>
    </row>
    <row r="73" spans="2:3">
      <c r="B73" s="20">
        <f t="shared" si="5"/>
        <v>2.3000000000000034</v>
      </c>
      <c r="C73" s="19">
        <f t="shared" si="6"/>
        <v>2.8327037741600961E-2</v>
      </c>
    </row>
    <row r="74" spans="2:3">
      <c r="B74" s="20">
        <f t="shared" si="5"/>
        <v>2.4000000000000035</v>
      </c>
      <c r="C74" s="19">
        <f t="shared" si="6"/>
        <v>2.2394530294842712E-2</v>
      </c>
    </row>
    <row r="75" spans="2:3">
      <c r="B75" s="20">
        <f t="shared" si="5"/>
        <v>2.5000000000000036</v>
      </c>
      <c r="C75" s="19">
        <f t="shared" si="6"/>
        <v>1.7528300493568381E-2</v>
      </c>
    </row>
    <row r="76" spans="2:3">
      <c r="B76" s="20">
        <f t="shared" si="5"/>
        <v>2.6000000000000036</v>
      </c>
      <c r="C76" s="19">
        <f t="shared" si="6"/>
        <v>1.3582969233685486E-2</v>
      </c>
    </row>
    <row r="77" spans="2:3">
      <c r="B77" s="20">
        <f t="shared" si="5"/>
        <v>2.7000000000000037</v>
      </c>
      <c r="C77" s="19">
        <f t="shared" si="6"/>
        <v>1.0420934814422488E-2</v>
      </c>
    </row>
    <row r="78" spans="2:3">
      <c r="B78" s="20">
        <f t="shared" si="5"/>
        <v>2.8000000000000038</v>
      </c>
      <c r="C78" s="19">
        <f t="shared" si="6"/>
        <v>7.9154515829798801E-3</v>
      </c>
    </row>
    <row r="79" spans="2:3">
      <c r="B79" s="20">
        <f t="shared" si="5"/>
        <v>2.9000000000000039</v>
      </c>
      <c r="C79" s="19">
        <f t="shared" si="6"/>
        <v>5.9525324197757853E-3</v>
      </c>
    </row>
    <row r="80" spans="2:3">
      <c r="B80" s="20">
        <f t="shared" si="5"/>
        <v>3.000000000000004</v>
      </c>
      <c r="C80" s="19">
        <f t="shared" si="6"/>
        <v>4.4318484119379529E-3</v>
      </c>
    </row>
    <row r="81" spans="2:3">
      <c r="B81" s="20">
        <f t="shared" si="5"/>
        <v>3.1000000000000041</v>
      </c>
      <c r="C81" s="19">
        <f t="shared" si="6"/>
        <v>3.2668190561998783E-3</v>
      </c>
    </row>
    <row r="82" spans="2:3">
      <c r="B82" s="20">
        <f t="shared" si="5"/>
        <v>3.2000000000000042</v>
      </c>
      <c r="C82" s="19">
        <f t="shared" si="6"/>
        <v>2.3840882014648105E-3</v>
      </c>
    </row>
    <row r="83" spans="2:3">
      <c r="B83" s="20">
        <f t="shared" si="5"/>
        <v>3.3000000000000043</v>
      </c>
      <c r="C83" s="19">
        <f t="shared" si="6"/>
        <v>1.7225689390536552E-3</v>
      </c>
    </row>
    <row r="84" spans="2:3">
      <c r="B84" s="20">
        <f t="shared" si="5"/>
        <v>3.4000000000000044</v>
      </c>
      <c r="C84" s="19">
        <f t="shared" si="6"/>
        <v>1.2322191684730013E-3</v>
      </c>
    </row>
    <row r="85" spans="2:3">
      <c r="B85" s="20">
        <f t="shared" si="5"/>
        <v>3.5000000000000044</v>
      </c>
      <c r="C85" s="19">
        <f t="shared" si="6"/>
        <v>8.7268269504574606E-4</v>
      </c>
    </row>
    <row r="86" spans="2:3">
      <c r="B86" s="20">
        <f t="shared" si="5"/>
        <v>3.6000000000000045</v>
      </c>
      <c r="C86" s="19">
        <f t="shared" si="6"/>
        <v>6.1190193011376214E-4</v>
      </c>
    </row>
    <row r="87" spans="2:3">
      <c r="B87" s="20">
        <f t="shared" si="5"/>
        <v>3.7000000000000046</v>
      </c>
      <c r="C87" s="19">
        <f t="shared" si="6"/>
        <v>4.2478027055074428E-4</v>
      </c>
    </row>
    <row r="88" spans="2:3">
      <c r="B88" s="20">
        <f t="shared" si="5"/>
        <v>3.8000000000000047</v>
      </c>
      <c r="C88" s="19">
        <f t="shared" si="6"/>
        <v>2.9194692579145507E-4</v>
      </c>
    </row>
    <row r="89" spans="2:3">
      <c r="B89" s="20">
        <f t="shared" si="5"/>
        <v>3.9000000000000048</v>
      </c>
      <c r="C89" s="19">
        <f t="shared" si="6"/>
        <v>1.9865547139276881E-4</v>
      </c>
    </row>
    <row r="90" spans="2:3">
      <c r="B90" s="20">
        <f t="shared" si="5"/>
        <v>4.0000000000000044</v>
      </c>
      <c r="C90" s="19">
        <f t="shared" si="6"/>
        <v>1.3383022576488298E-4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9"/>
  <dimension ref="B4:F28"/>
  <sheetViews>
    <sheetView showGridLines="0" workbookViewId="0">
      <selection activeCell="K27" sqref="K27"/>
    </sheetView>
  </sheetViews>
  <sheetFormatPr defaultRowHeight="14.4"/>
  <sheetData>
    <row r="4" spans="2:6">
      <c r="B4" s="105" t="s">
        <v>11</v>
      </c>
      <c r="C4" s="105" t="s">
        <v>81</v>
      </c>
      <c r="D4" s="105" t="s">
        <v>82</v>
      </c>
      <c r="E4" s="64"/>
      <c r="F4" s="64"/>
    </row>
    <row r="5" spans="2:6">
      <c r="B5">
        <v>1</v>
      </c>
      <c r="C5">
        <f>B5^2</f>
        <v>1</v>
      </c>
      <c r="D5" s="31">
        <f>C5*$C$11</f>
        <v>1.8181818181818181E-2</v>
      </c>
      <c r="E5" s="83">
        <f>B5*D5</f>
        <v>1.8181818181818181E-2</v>
      </c>
      <c r="F5" s="83">
        <f>(B5-$E$10)^2*D5</f>
        <v>0.17370398196844475</v>
      </c>
    </row>
    <row r="6" spans="2:6">
      <c r="B6">
        <v>2</v>
      </c>
      <c r="C6">
        <f t="shared" ref="C6:C9" si="0">B6^2</f>
        <v>4</v>
      </c>
      <c r="D6" s="31">
        <f t="shared" ref="D6:D9" si="1">C6*$C$11</f>
        <v>7.2727272727272724E-2</v>
      </c>
      <c r="E6" s="83">
        <f t="shared" ref="E6:E9" si="2">B6*D6</f>
        <v>0.14545454545454545</v>
      </c>
      <c r="F6" s="83">
        <f t="shared" ref="F6:F9" si="3">(B6-$E$10)^2*D6</f>
        <v>0.31795642374154764</v>
      </c>
    </row>
    <row r="7" spans="2:6">
      <c r="B7">
        <v>3</v>
      </c>
      <c r="C7">
        <f t="shared" si="0"/>
        <v>9</v>
      </c>
      <c r="D7" s="31">
        <f t="shared" si="1"/>
        <v>0.16363636363636364</v>
      </c>
      <c r="E7" s="83">
        <f t="shared" si="2"/>
        <v>0.49090909090909091</v>
      </c>
      <c r="F7" s="83">
        <f t="shared" si="3"/>
        <v>0.19474079639368894</v>
      </c>
    </row>
    <row r="8" spans="2:6">
      <c r="B8">
        <v>4</v>
      </c>
      <c r="C8">
        <f t="shared" si="0"/>
        <v>16</v>
      </c>
      <c r="D8" s="31">
        <f t="shared" si="1"/>
        <v>0.29090909090909089</v>
      </c>
      <c r="E8" s="83">
        <f t="shared" si="2"/>
        <v>1.1636363636363636</v>
      </c>
      <c r="F8" s="83">
        <f t="shared" si="3"/>
        <v>2.4042073628850443E-3</v>
      </c>
    </row>
    <row r="9" spans="2:6">
      <c r="B9" s="60">
        <v>5</v>
      </c>
      <c r="C9" s="60">
        <f t="shared" si="0"/>
        <v>25</v>
      </c>
      <c r="D9" s="106">
        <f t="shared" si="1"/>
        <v>0.45454545454545453</v>
      </c>
      <c r="E9" s="86">
        <f t="shared" si="2"/>
        <v>2.2727272727272725</v>
      </c>
      <c r="F9" s="86">
        <f t="shared" si="3"/>
        <v>0.37565740045078894</v>
      </c>
    </row>
    <row r="10" spans="2:6">
      <c r="B10" t="s">
        <v>83</v>
      </c>
      <c r="C10" s="107">
        <f>SUM(C5:C9)</f>
        <v>55</v>
      </c>
      <c r="E10" s="108">
        <f>SUM(E5:E9)</f>
        <v>4.0909090909090908</v>
      </c>
      <c r="F10" s="108">
        <f>SUM(F5:F9)</f>
        <v>1.0644628099173552</v>
      </c>
    </row>
    <row r="11" spans="2:6">
      <c r="B11" t="s">
        <v>84</v>
      </c>
      <c r="C11">
        <f>1/C10</f>
        <v>1.8181818181818181E-2</v>
      </c>
      <c r="E11" s="83"/>
      <c r="F11" s="83">
        <f>SQRT(F10)</f>
        <v>1.0317280697535349</v>
      </c>
    </row>
    <row r="12" spans="2:6">
      <c r="E12" s="83">
        <f>E10-F11</f>
        <v>3.0591810211555561</v>
      </c>
      <c r="F12" s="83"/>
    </row>
    <row r="15" spans="2:6">
      <c r="D15" s="66"/>
      <c r="E15" s="35"/>
      <c r="F15" s="35"/>
    </row>
    <row r="16" spans="2:6">
      <c r="D16" s="66" t="s">
        <v>93</v>
      </c>
      <c r="E16" s="35"/>
      <c r="F16" s="66" t="s">
        <v>90</v>
      </c>
    </row>
    <row r="17" spans="2:6" s="35" customFormat="1">
      <c r="B17" s="105" t="s">
        <v>85</v>
      </c>
      <c r="C17" s="105" t="s">
        <v>86</v>
      </c>
      <c r="D17" s="105" t="s">
        <v>88</v>
      </c>
      <c r="E17" s="105" t="s">
        <v>89</v>
      </c>
      <c r="F17" s="105" t="s">
        <v>91</v>
      </c>
    </row>
    <row r="18" spans="2:6" s="35" customFormat="1">
      <c r="B18" s="35">
        <v>1</v>
      </c>
      <c r="C18" s="35">
        <f>B18^3</f>
        <v>1</v>
      </c>
      <c r="D18" s="110">
        <f>C18*$C$22</f>
        <v>2.7777777777777776E-2</v>
      </c>
      <c r="E18" s="112">
        <f>D18*B18</f>
        <v>2.7777777777777776E-2</v>
      </c>
      <c r="F18" s="112">
        <f>(B18-$E$21)^2*D18</f>
        <v>8.2390260631001383E-2</v>
      </c>
    </row>
    <row r="19" spans="2:6" s="35" customFormat="1">
      <c r="B19" s="35">
        <v>2</v>
      </c>
      <c r="C19" s="35">
        <f>B19^3</f>
        <v>8</v>
      </c>
      <c r="D19" s="110">
        <f>C19*$C$22</f>
        <v>0.22222222222222221</v>
      </c>
      <c r="E19" s="112">
        <f t="shared" ref="E19:E20" si="4">D19*B19</f>
        <v>0.44444444444444442</v>
      </c>
      <c r="F19" s="112">
        <f>(B19-$E$21)^2*D19</f>
        <v>0.11591220850480111</v>
      </c>
    </row>
    <row r="20" spans="2:6" s="35" customFormat="1">
      <c r="B20" s="64">
        <v>3</v>
      </c>
      <c r="C20" s="64">
        <f>B20^3</f>
        <v>27</v>
      </c>
      <c r="D20" s="111">
        <f>C20*$C$22</f>
        <v>0.75</v>
      </c>
      <c r="E20" s="113">
        <f t="shared" si="4"/>
        <v>2.25</v>
      </c>
      <c r="F20" s="113">
        <f>(B20-$E$21)^2*D20</f>
        <v>5.7870370370370322E-2</v>
      </c>
    </row>
    <row r="21" spans="2:6" s="35" customFormat="1">
      <c r="B21" s="35" t="s">
        <v>87</v>
      </c>
      <c r="C21" s="35">
        <f>SUM(C18:C20)</f>
        <v>36</v>
      </c>
      <c r="E21" s="114">
        <f>SUM(E18:E20)</f>
        <v>2.7222222222222223</v>
      </c>
      <c r="F21" s="115">
        <f>SUM(F18:F20)</f>
        <v>0.25617283950617281</v>
      </c>
    </row>
    <row r="22" spans="2:6" s="35" customFormat="1">
      <c r="B22" s="66" t="s">
        <v>84</v>
      </c>
      <c r="C22" s="109">
        <f>1/C21</f>
        <v>2.7777777777777776E-2</v>
      </c>
      <c r="E22" s="66" t="s">
        <v>92</v>
      </c>
      <c r="F22" s="115">
        <f>SQRT(F21)</f>
        <v>0.50613519884134994</v>
      </c>
    </row>
    <row r="23" spans="2:6" s="35" customFormat="1"/>
    <row r="24" spans="2:6" s="35" customFormat="1"/>
    <row r="25" spans="2:6" s="35" customFormat="1"/>
    <row r="26" spans="2:6" s="35" customFormat="1"/>
    <row r="27" spans="2:6" s="35" customFormat="1"/>
    <row r="28" spans="2:6" s="35" customFormat="1"/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0"/>
  <dimension ref="B1:O33"/>
  <sheetViews>
    <sheetView showGridLines="0" workbookViewId="0">
      <selection activeCell="N27" sqref="N27"/>
    </sheetView>
  </sheetViews>
  <sheetFormatPr defaultColWidth="9.109375" defaultRowHeight="14.4"/>
  <cols>
    <col min="1" max="1" width="4" style="3" customWidth="1"/>
    <col min="2" max="2" width="9.109375" style="3"/>
    <col min="3" max="3" width="7.33203125" style="3" customWidth="1"/>
    <col min="4" max="16384" width="9.109375" style="3"/>
  </cols>
  <sheetData>
    <row r="1" spans="2:1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5">
      <c r="B2" s="4" t="s">
        <v>1</v>
      </c>
      <c r="O2" s="5"/>
    </row>
    <row r="4" spans="2:15">
      <c r="B4" s="3" t="s">
        <v>2</v>
      </c>
      <c r="I4" s="6">
        <v>1</v>
      </c>
    </row>
    <row r="5" spans="2:15">
      <c r="B5" s="5" t="str">
        <f>"MARGINAL (unconditional) Probability that "&amp;I4&amp;" printer(s) will be sold:"</f>
        <v>MARGINAL (unconditional) Probability that 1 printer(s) will be sold:</v>
      </c>
      <c r="I5" s="3">
        <f>VLOOKUP(I4,$C$28:$I$32,7)</f>
        <v>0.16</v>
      </c>
    </row>
    <row r="7" spans="2:15">
      <c r="B7" s="3" t="s">
        <v>3</v>
      </c>
      <c r="I7" s="6">
        <v>2</v>
      </c>
    </row>
    <row r="8" spans="2:15">
      <c r="B8" s="5" t="str">
        <f>"JOINT Probability that "&amp;I4&amp;" printer(s) and "&amp;I7&amp;" PC(s) will be sold:"</f>
        <v>JOINT Probability that 1 printer(s) and 2 PC(s) will be sold:</v>
      </c>
      <c r="I8" s="7">
        <f>INDEX($D$28:$H$32,I4+1,I7+1)</f>
        <v>0.06</v>
      </c>
    </row>
    <row r="10" spans="2:15">
      <c r="B10" s="5" t="str">
        <f>"CONDITIONAL Prob. that "&amp;I7&amp;" PC(s) are sold, given "&amp;I4&amp;" printers are sold:"</f>
        <v>CONDITIONAL Prob. that 2 PC(s) are sold, given 1 printers are sold:</v>
      </c>
      <c r="I10" s="3">
        <f>I8/I5</f>
        <v>0.375</v>
      </c>
    </row>
    <row r="11" spans="2:15">
      <c r="B11" s="3" t="str">
        <f>"i.e., = P ( "&amp;I7&amp; " PC | "&amp;I4&amp;" Printer )"</f>
        <v>i.e., = P ( 2 PC | 1 Printer )</v>
      </c>
    </row>
    <row r="13" spans="2:15">
      <c r="B13" s="5" t="s">
        <v>4</v>
      </c>
    </row>
    <row r="14" spans="2:15">
      <c r="B14" s="5"/>
    </row>
    <row r="15" spans="2:15">
      <c r="D15" s="3" t="s">
        <v>5</v>
      </c>
    </row>
    <row r="16" spans="2:15">
      <c r="D16" s="8">
        <v>0</v>
      </c>
      <c r="E16" s="8">
        <v>1</v>
      </c>
      <c r="F16" s="8">
        <v>2</v>
      </c>
      <c r="G16" s="8">
        <v>3</v>
      </c>
      <c r="H16" s="8">
        <v>4</v>
      </c>
      <c r="I16" s="9" t="s">
        <v>6</v>
      </c>
    </row>
    <row r="17" spans="2:9">
      <c r="B17" s="3" t="s">
        <v>7</v>
      </c>
      <c r="C17" s="10">
        <v>0</v>
      </c>
      <c r="D17" s="11">
        <v>6</v>
      </c>
      <c r="E17" s="11">
        <v>6</v>
      </c>
      <c r="F17" s="11">
        <v>4</v>
      </c>
      <c r="G17" s="11">
        <v>4</v>
      </c>
      <c r="H17" s="12">
        <v>2</v>
      </c>
      <c r="I17" s="3">
        <f>SUM(D17:H17)</f>
        <v>22</v>
      </c>
    </row>
    <row r="18" spans="2:9">
      <c r="B18" s="3" t="s">
        <v>8</v>
      </c>
      <c r="C18" s="10">
        <v>1</v>
      </c>
      <c r="D18" s="11">
        <v>4</v>
      </c>
      <c r="E18" s="11">
        <v>10</v>
      </c>
      <c r="F18" s="11">
        <v>12</v>
      </c>
      <c r="G18" s="11">
        <v>4</v>
      </c>
      <c r="H18" s="13">
        <v>2</v>
      </c>
      <c r="I18" s="3">
        <f>SUM(D18:H18)</f>
        <v>32</v>
      </c>
    </row>
    <row r="19" spans="2:9">
      <c r="C19" s="10">
        <v>2</v>
      </c>
      <c r="D19" s="11">
        <v>2</v>
      </c>
      <c r="E19" s="11">
        <v>4</v>
      </c>
      <c r="F19" s="11">
        <v>20</v>
      </c>
      <c r="G19" s="11">
        <v>10</v>
      </c>
      <c r="H19" s="13">
        <v>10</v>
      </c>
      <c r="I19" s="3">
        <f>SUM(D19:H19)</f>
        <v>46</v>
      </c>
    </row>
    <row r="20" spans="2:9">
      <c r="C20" s="10">
        <v>3</v>
      </c>
      <c r="D20" s="11">
        <v>2</v>
      </c>
      <c r="E20" s="11">
        <v>2</v>
      </c>
      <c r="F20" s="11">
        <v>10</v>
      </c>
      <c r="G20" s="11">
        <v>20</v>
      </c>
      <c r="H20" s="13">
        <v>20</v>
      </c>
      <c r="I20" s="3">
        <f>SUM(D20:H20)</f>
        <v>54</v>
      </c>
    </row>
    <row r="21" spans="2:9">
      <c r="C21" s="10">
        <v>4</v>
      </c>
      <c r="D21" s="14">
        <v>2</v>
      </c>
      <c r="E21" s="15">
        <v>2</v>
      </c>
      <c r="F21" s="15">
        <v>2</v>
      </c>
      <c r="G21" s="15">
        <v>10</v>
      </c>
      <c r="H21" s="16">
        <v>30</v>
      </c>
      <c r="I21" s="3">
        <f>SUM(D21:H21)</f>
        <v>46</v>
      </c>
    </row>
    <row r="22" spans="2:9">
      <c r="C22" s="3" t="s">
        <v>6</v>
      </c>
      <c r="D22" s="3">
        <f>SUM(D17:D21)</f>
        <v>16</v>
      </c>
      <c r="E22" s="3">
        <f>SUM(E17:E21)</f>
        <v>24</v>
      </c>
      <c r="F22" s="3">
        <f>SUM(F17:F21)</f>
        <v>48</v>
      </c>
      <c r="G22" s="3">
        <f>SUM(G17:G21)</f>
        <v>48</v>
      </c>
      <c r="H22" s="3">
        <f>SUM(H17:H21)</f>
        <v>64</v>
      </c>
      <c r="I22" s="3">
        <f>SUM(D17:H21)</f>
        <v>200</v>
      </c>
    </row>
    <row r="24" spans="2:9">
      <c r="B24" s="5" t="s">
        <v>9</v>
      </c>
    </row>
    <row r="25" spans="2:9">
      <c r="B25" s="5"/>
    </row>
    <row r="26" spans="2:9">
      <c r="D26" s="3" t="s">
        <v>5</v>
      </c>
    </row>
    <row r="27" spans="2:9">
      <c r="D27" s="8">
        <v>0</v>
      </c>
      <c r="E27" s="8">
        <v>1</v>
      </c>
      <c r="F27" s="8">
        <v>2</v>
      </c>
      <c r="G27" s="8">
        <v>3</v>
      </c>
      <c r="H27" s="8">
        <v>4</v>
      </c>
      <c r="I27" s="17" t="s">
        <v>6</v>
      </c>
    </row>
    <row r="28" spans="2:9">
      <c r="B28" s="3" t="s">
        <v>7</v>
      </c>
      <c r="C28" s="10">
        <v>0</v>
      </c>
      <c r="D28" s="7">
        <f>D17/$I$22</f>
        <v>0.03</v>
      </c>
      <c r="E28" s="7">
        <f>E17/$I$22</f>
        <v>0.03</v>
      </c>
      <c r="F28" s="7">
        <f>F17/$I$22</f>
        <v>0.02</v>
      </c>
      <c r="G28" s="7">
        <f>G17/$I$22</f>
        <v>0.02</v>
      </c>
      <c r="H28" s="7">
        <f>H17/$I$22</f>
        <v>0.01</v>
      </c>
      <c r="I28" s="7">
        <f>SUM(D28:H28)</f>
        <v>0.11</v>
      </c>
    </row>
    <row r="29" spans="2:9">
      <c r="B29" s="3" t="s">
        <v>8</v>
      </c>
      <c r="C29" s="10">
        <v>1</v>
      </c>
      <c r="D29" s="7">
        <f t="shared" ref="D29:H32" si="0">D18/$I$22</f>
        <v>0.02</v>
      </c>
      <c r="E29" s="7">
        <f t="shared" si="0"/>
        <v>0.05</v>
      </c>
      <c r="F29" s="7">
        <f t="shared" si="0"/>
        <v>0.06</v>
      </c>
      <c r="G29" s="7">
        <f t="shared" si="0"/>
        <v>0.02</v>
      </c>
      <c r="H29" s="7">
        <f t="shared" si="0"/>
        <v>0.01</v>
      </c>
      <c r="I29" s="7">
        <f>SUM(D29:H29)</f>
        <v>0.16</v>
      </c>
    </row>
    <row r="30" spans="2:9">
      <c r="C30" s="10">
        <v>2</v>
      </c>
      <c r="D30" s="7">
        <f t="shared" si="0"/>
        <v>0.01</v>
      </c>
      <c r="E30" s="7">
        <f t="shared" si="0"/>
        <v>0.02</v>
      </c>
      <c r="F30" s="7">
        <f t="shared" si="0"/>
        <v>0.1</v>
      </c>
      <c r="G30" s="7">
        <f t="shared" si="0"/>
        <v>0.05</v>
      </c>
      <c r="H30" s="7">
        <f t="shared" si="0"/>
        <v>0.05</v>
      </c>
      <c r="I30" s="7">
        <f>SUM(D30:H30)</f>
        <v>0.22999999999999998</v>
      </c>
    </row>
    <row r="31" spans="2:9">
      <c r="C31" s="10">
        <v>3</v>
      </c>
      <c r="D31" s="7">
        <f t="shared" si="0"/>
        <v>0.01</v>
      </c>
      <c r="E31" s="7">
        <f t="shared" si="0"/>
        <v>0.01</v>
      </c>
      <c r="F31" s="7">
        <f t="shared" si="0"/>
        <v>0.05</v>
      </c>
      <c r="G31" s="7">
        <f t="shared" si="0"/>
        <v>0.1</v>
      </c>
      <c r="H31" s="7">
        <f t="shared" si="0"/>
        <v>0.1</v>
      </c>
      <c r="I31" s="7">
        <f>SUM(D31:H31)</f>
        <v>0.27</v>
      </c>
    </row>
    <row r="32" spans="2:9">
      <c r="C32" s="10">
        <v>4</v>
      </c>
      <c r="D32" s="7">
        <f t="shared" si="0"/>
        <v>0.01</v>
      </c>
      <c r="E32" s="7">
        <f t="shared" si="0"/>
        <v>0.01</v>
      </c>
      <c r="F32" s="7">
        <f t="shared" si="0"/>
        <v>0.01</v>
      </c>
      <c r="G32" s="7">
        <f t="shared" si="0"/>
        <v>0.05</v>
      </c>
      <c r="H32" s="7">
        <f t="shared" si="0"/>
        <v>0.15</v>
      </c>
      <c r="I32" s="7">
        <f>SUM(D32:H32)</f>
        <v>0.22999999999999998</v>
      </c>
    </row>
    <row r="33" spans="3:9">
      <c r="C33" s="3" t="s">
        <v>6</v>
      </c>
      <c r="D33" s="7">
        <f>SUM(D28:D32)</f>
        <v>0.08</v>
      </c>
      <c r="E33" s="7">
        <f>SUM(E28:E32)</f>
        <v>0.12</v>
      </c>
      <c r="F33" s="7">
        <f>SUM(F28:F32)</f>
        <v>0.24</v>
      </c>
      <c r="G33" s="7">
        <f>SUM(G28:G32)</f>
        <v>0.24</v>
      </c>
      <c r="H33" s="7">
        <f>SUM(H28:H32)</f>
        <v>0.32</v>
      </c>
      <c r="I33" s="7">
        <f>SUM(D28:H32)</f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1"/>
  <dimension ref="C3:K29"/>
  <sheetViews>
    <sheetView showGridLines="0" workbookViewId="0">
      <selection activeCell="K23" sqref="K23"/>
    </sheetView>
  </sheetViews>
  <sheetFormatPr defaultRowHeight="14.4"/>
  <cols>
    <col min="5" max="5" width="10.44140625" customWidth="1"/>
    <col min="6" max="6" width="13.6640625" customWidth="1"/>
    <col min="8" max="8" width="10" customWidth="1"/>
    <col min="9" max="9" width="8.88671875" customWidth="1"/>
  </cols>
  <sheetData>
    <row r="3" spans="3:10" s="25" customFormat="1">
      <c r="G3" s="25" t="s">
        <v>33</v>
      </c>
      <c r="H3" s="25" t="s">
        <v>34</v>
      </c>
    </row>
    <row r="4" spans="3:10" s="25" customFormat="1">
      <c r="C4" s="57" t="s">
        <v>35</v>
      </c>
      <c r="D4" s="25" t="s">
        <v>36</v>
      </c>
      <c r="E4" s="25" t="s">
        <v>37</v>
      </c>
      <c r="G4" s="25" t="s">
        <v>38</v>
      </c>
      <c r="H4" s="25" t="s">
        <v>38</v>
      </c>
    </row>
    <row r="5" spans="3:10" s="25" customFormat="1">
      <c r="C5" s="58" t="s">
        <v>39</v>
      </c>
      <c r="D5" s="58" t="s">
        <v>40</v>
      </c>
      <c r="E5" s="58" t="s">
        <v>15</v>
      </c>
      <c r="F5" s="58" t="s">
        <v>41</v>
      </c>
      <c r="G5" s="58" t="s">
        <v>42</v>
      </c>
      <c r="H5" s="58" t="s">
        <v>17</v>
      </c>
    </row>
    <row r="6" spans="3:10">
      <c r="C6" t="s">
        <v>43</v>
      </c>
      <c r="D6" s="59">
        <v>0.2</v>
      </c>
      <c r="E6" s="28">
        <v>0.7</v>
      </c>
      <c r="F6">
        <f>1-E6</f>
        <v>0.30000000000000004</v>
      </c>
      <c r="G6" s="30">
        <f>D6*E6</f>
        <v>0.13999999999999999</v>
      </c>
      <c r="H6">
        <f>G6/$G$8</f>
        <v>0.30434782608695643</v>
      </c>
    </row>
    <row r="7" spans="3:10">
      <c r="C7" s="60" t="s">
        <v>44</v>
      </c>
      <c r="D7" s="61">
        <f>1-D6</f>
        <v>0.8</v>
      </c>
      <c r="E7" s="62">
        <v>0.4</v>
      </c>
      <c r="F7" s="60">
        <f>1-E7</f>
        <v>0.6</v>
      </c>
      <c r="G7" s="63">
        <f>D7*E7</f>
        <v>0.32000000000000006</v>
      </c>
      <c r="H7" s="64">
        <f>G7/$G$8</f>
        <v>0.69565217391304346</v>
      </c>
    </row>
    <row r="8" spans="3:10">
      <c r="E8" s="25" t="s">
        <v>16</v>
      </c>
      <c r="F8" s="25"/>
      <c r="G8" s="30">
        <f>SUM(G6:G7)</f>
        <v>0.46000000000000008</v>
      </c>
      <c r="H8" s="65">
        <f>SUM(H6:H7)</f>
        <v>0.99999999999999989</v>
      </c>
    </row>
    <row r="9" spans="3:10">
      <c r="E9" s="25"/>
      <c r="F9" s="25"/>
      <c r="G9" s="30"/>
      <c r="H9" s="65"/>
    </row>
    <row r="12" spans="3:10">
      <c r="D12" s="66" t="s">
        <v>45</v>
      </c>
      <c r="E12" s="66" t="s">
        <v>46</v>
      </c>
      <c r="F12" s="25"/>
    </row>
    <row r="13" spans="3:10">
      <c r="C13" s="66" t="s">
        <v>43</v>
      </c>
      <c r="D13" s="67">
        <f>D6*F6</f>
        <v>6.0000000000000012E-2</v>
      </c>
      <c r="E13" s="68">
        <f>D6*E6</f>
        <v>0.13999999999999999</v>
      </c>
      <c r="F13" s="30"/>
      <c r="G13" s="69">
        <f>D13+E13</f>
        <v>0.2</v>
      </c>
      <c r="J13" s="34">
        <f>20%*70%/(20%*70%+40%*80%)</f>
        <v>0.30434782608695643</v>
      </c>
    </row>
    <row r="14" spans="3:10">
      <c r="C14" s="66" t="s">
        <v>44</v>
      </c>
      <c r="D14" s="70">
        <f>D7*F7</f>
        <v>0.48</v>
      </c>
      <c r="E14" s="71">
        <f>D7*E7</f>
        <v>0.32000000000000006</v>
      </c>
      <c r="F14" s="30"/>
      <c r="G14" s="69">
        <f>D14+E14</f>
        <v>0.8</v>
      </c>
    </row>
    <row r="15" spans="3:10">
      <c r="E15" s="69"/>
    </row>
    <row r="16" spans="3:10">
      <c r="E16" s="31">
        <f>E13/(E13+E14)</f>
        <v>0.30434782608695643</v>
      </c>
    </row>
    <row r="17" spans="3:11">
      <c r="I17" t="s">
        <v>47</v>
      </c>
    </row>
    <row r="18" spans="3:11">
      <c r="I18" t="s">
        <v>48</v>
      </c>
    </row>
    <row r="19" spans="3:11">
      <c r="E19" s="72" t="s">
        <v>49</v>
      </c>
      <c r="F19" s="72"/>
    </row>
    <row r="20" spans="3:11">
      <c r="E20" s="58" t="s">
        <v>50</v>
      </c>
      <c r="F20" s="58" t="s">
        <v>51</v>
      </c>
      <c r="I20" s="73" t="s">
        <v>52</v>
      </c>
      <c r="J20" s="73" t="s">
        <v>53</v>
      </c>
    </row>
    <row r="21" spans="3:11">
      <c r="C21" s="66" t="s">
        <v>54</v>
      </c>
      <c r="D21" s="74">
        <v>0.2</v>
      </c>
      <c r="E21" s="74">
        <v>0.7</v>
      </c>
      <c r="F21" s="26">
        <f>1-E21</f>
        <v>0.30000000000000004</v>
      </c>
      <c r="H21" s="66" t="s">
        <v>55</v>
      </c>
      <c r="I21" s="75">
        <f>D21*E21</f>
        <v>0.13999999999999999</v>
      </c>
      <c r="J21" s="76">
        <f>D21*F21</f>
        <v>6.0000000000000012E-2</v>
      </c>
      <c r="K21" s="34">
        <f>I21+J21</f>
        <v>0.2</v>
      </c>
    </row>
    <row r="22" spans="3:11">
      <c r="C22" s="66" t="s">
        <v>56</v>
      </c>
      <c r="D22" s="31">
        <f>1-D21</f>
        <v>0.8</v>
      </c>
      <c r="E22" s="74">
        <v>0.4</v>
      </c>
      <c r="F22" s="26">
        <f>1-E22</f>
        <v>0.6</v>
      </c>
      <c r="H22" s="66" t="s">
        <v>57</v>
      </c>
      <c r="I22" s="77">
        <f>D22*E22</f>
        <v>0.32000000000000006</v>
      </c>
      <c r="J22" s="78">
        <f>D22*F22</f>
        <v>0.48</v>
      </c>
      <c r="K22" s="34">
        <f>I22+J22</f>
        <v>0.8</v>
      </c>
    </row>
    <row r="23" spans="3:11">
      <c r="I23" s="79">
        <f>I21+I22</f>
        <v>0.46000000000000008</v>
      </c>
      <c r="J23" s="34">
        <f>J21+J22</f>
        <v>0.54</v>
      </c>
      <c r="K23" s="34">
        <f>I23+J23</f>
        <v>1</v>
      </c>
    </row>
    <row r="25" spans="3:11">
      <c r="H25" s="80" t="s">
        <v>58</v>
      </c>
      <c r="I25" s="81">
        <f>I21/I23</f>
        <v>0.30434782608695643</v>
      </c>
    </row>
    <row r="26" spans="3:11">
      <c r="I26" s="31"/>
    </row>
    <row r="27" spans="3:11">
      <c r="E27" t="s">
        <v>59</v>
      </c>
      <c r="F27" t="s">
        <v>60</v>
      </c>
    </row>
    <row r="28" spans="3:11">
      <c r="C28" t="s">
        <v>52</v>
      </c>
      <c r="D28" s="34">
        <f>I23</f>
        <v>0.46000000000000008</v>
      </c>
      <c r="E28" s="33">
        <f>I21/I23</f>
        <v>0.30434782608695643</v>
      </c>
      <c r="F28" s="33">
        <f>I22/I23</f>
        <v>0.69565217391304346</v>
      </c>
    </row>
    <row r="29" spans="3:11">
      <c r="C29" t="s">
        <v>53</v>
      </c>
      <c r="D29" s="34">
        <f>J23</f>
        <v>0.54</v>
      </c>
      <c r="E29" s="33">
        <f>J21/J23</f>
        <v>0.11111111111111112</v>
      </c>
      <c r="F29" s="33">
        <f>J22/J23</f>
        <v>0.88888888888888884</v>
      </c>
    </row>
  </sheetData>
  <pageMargins left="0.7" right="0.7" top="0.75" bottom="0.7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2"/>
  <dimension ref="B3:J26"/>
  <sheetViews>
    <sheetView showGridLines="0" workbookViewId="0">
      <selection activeCell="J29" sqref="J29"/>
    </sheetView>
  </sheetViews>
  <sheetFormatPr defaultRowHeight="14.4"/>
  <cols>
    <col min="3" max="3" width="8.33203125" customWidth="1"/>
    <col min="4" max="4" width="10" bestFit="1" customWidth="1"/>
    <col min="5" max="5" width="20.44140625" customWidth="1"/>
  </cols>
  <sheetData>
    <row r="3" spans="2:10" s="25" customFormat="1">
      <c r="G3" s="25" t="s">
        <v>33</v>
      </c>
      <c r="H3" s="25" t="s">
        <v>34</v>
      </c>
    </row>
    <row r="4" spans="2:10" s="25" customFormat="1">
      <c r="C4" s="57" t="s">
        <v>35</v>
      </c>
      <c r="D4" s="25" t="s">
        <v>36</v>
      </c>
      <c r="E4" s="25" t="s">
        <v>37</v>
      </c>
      <c r="G4" s="25" t="s">
        <v>38</v>
      </c>
      <c r="H4" s="25" t="s">
        <v>38</v>
      </c>
    </row>
    <row r="5" spans="2:10" s="25" customFormat="1">
      <c r="C5" s="58" t="s">
        <v>39</v>
      </c>
      <c r="D5" s="58" t="s">
        <v>40</v>
      </c>
      <c r="E5" s="58" t="s">
        <v>15</v>
      </c>
      <c r="F5" s="58" t="s">
        <v>41</v>
      </c>
      <c r="G5" s="58" t="s">
        <v>42</v>
      </c>
      <c r="H5" s="58" t="s">
        <v>17</v>
      </c>
    </row>
    <row r="6" spans="2:10">
      <c r="C6" t="s">
        <v>61</v>
      </c>
      <c r="D6" s="82">
        <f>1%*97%+99%*94%</f>
        <v>0.94030000000000002</v>
      </c>
      <c r="E6" s="29">
        <v>0.99</v>
      </c>
      <c r="F6" s="83">
        <f>1-E6</f>
        <v>1.0000000000000009E-2</v>
      </c>
      <c r="G6" s="30">
        <f>D6*E6</f>
        <v>0.93089699999999997</v>
      </c>
      <c r="H6">
        <f>G6/$G$8</f>
        <v>0.9993590941004451</v>
      </c>
    </row>
    <row r="7" spans="2:10">
      <c r="C7" s="60" t="s">
        <v>62</v>
      </c>
      <c r="D7" s="84">
        <f>1-D6</f>
        <v>5.9699999999999975E-2</v>
      </c>
      <c r="E7" s="85">
        <v>0.01</v>
      </c>
      <c r="F7" s="86">
        <f>1-E7</f>
        <v>0.99</v>
      </c>
      <c r="G7" s="63">
        <f>D7*E7</f>
        <v>5.9699999999999977E-4</v>
      </c>
      <c r="H7" s="64">
        <f>G7/$G$8</f>
        <v>6.4090589955490831E-4</v>
      </c>
    </row>
    <row r="8" spans="2:10">
      <c r="E8" s="25" t="s">
        <v>16</v>
      </c>
      <c r="F8" s="25"/>
      <c r="G8" s="30">
        <f>SUM(G6:G7)</f>
        <v>0.93149399999999993</v>
      </c>
      <c r="H8" s="65">
        <f>SUM(H6:H7)</f>
        <v>1</v>
      </c>
    </row>
    <row r="9" spans="2:10">
      <c r="E9" s="25"/>
      <c r="F9" s="25"/>
      <c r="G9" s="30"/>
      <c r="H9" s="65"/>
    </row>
    <row r="11" spans="2:10">
      <c r="D11" s="87" t="s">
        <v>63</v>
      </c>
      <c r="E11" s="87"/>
    </row>
    <row r="12" spans="2:10">
      <c r="D12" s="66" t="s">
        <v>64</v>
      </c>
      <c r="E12" s="66" t="s">
        <v>65</v>
      </c>
      <c r="F12" s="25"/>
    </row>
    <row r="13" spans="2:10">
      <c r="B13" s="88" t="s">
        <v>66</v>
      </c>
      <c r="C13" s="66" t="s">
        <v>64</v>
      </c>
      <c r="D13" s="89">
        <f>99%*97%</f>
        <v>0.96029999999999993</v>
      </c>
      <c r="E13" s="90">
        <f>1%*94%</f>
        <v>9.4000000000000004E-3</v>
      </c>
      <c r="F13" s="30"/>
      <c r="G13" s="91">
        <f>D13+E13</f>
        <v>0.9696999999999999</v>
      </c>
    </row>
    <row r="14" spans="2:10">
      <c r="B14" s="88" t="s">
        <v>67</v>
      </c>
      <c r="C14" s="66" t="s">
        <v>65</v>
      </c>
      <c r="D14" s="92">
        <f>99%*3%</f>
        <v>2.9699999999999997E-2</v>
      </c>
      <c r="E14" s="93">
        <f>1%*6%</f>
        <v>5.9999999999999995E-4</v>
      </c>
      <c r="F14" s="30"/>
      <c r="G14" s="94">
        <f>D14+E14</f>
        <v>3.0299999999999997E-2</v>
      </c>
      <c r="J14" s="33">
        <f>E14/(D14+E14)</f>
        <v>1.9801980198019802E-2</v>
      </c>
    </row>
    <row r="15" spans="2:10">
      <c r="E15" s="69"/>
    </row>
    <row r="16" spans="2:10">
      <c r="E16" s="95"/>
    </row>
    <row r="17" spans="2:5">
      <c r="D17" s="96">
        <f>D13+D14</f>
        <v>0.98999999999999988</v>
      </c>
      <c r="E17" s="96">
        <f>E13+E14</f>
        <v>0.01</v>
      </c>
    </row>
    <row r="18" spans="2:5">
      <c r="D18" s="96"/>
      <c r="E18" s="96"/>
    </row>
    <row r="19" spans="2:5">
      <c r="B19" t="s">
        <v>68</v>
      </c>
      <c r="E19" s="97">
        <f>E14/G14</f>
        <v>1.9801980198019802E-2</v>
      </c>
    </row>
    <row r="20" spans="2:5">
      <c r="B20" t="s">
        <v>69</v>
      </c>
      <c r="E20" s="33">
        <f>E14/E17</f>
        <v>5.9999999999999991E-2</v>
      </c>
    </row>
    <row r="25" spans="2:5">
      <c r="D25" s="32">
        <f>94%*95%</f>
        <v>0.8929999999999999</v>
      </c>
      <c r="E25" s="32">
        <f>94%*5%</f>
        <v>4.7E-2</v>
      </c>
    </row>
    <row r="26" spans="2:5">
      <c r="D26" s="32">
        <f>6%*90%</f>
        <v>5.3999999999999999E-2</v>
      </c>
      <c r="E26" s="32">
        <f>6%*10%</f>
        <v>6.0000000000000001E-3</v>
      </c>
    </row>
  </sheetData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3"/>
  <dimension ref="B3:I33"/>
  <sheetViews>
    <sheetView showGridLines="0" workbookViewId="0"/>
  </sheetViews>
  <sheetFormatPr defaultRowHeight="14.4"/>
  <cols>
    <col min="4" max="6" width="11.6640625" customWidth="1"/>
  </cols>
  <sheetData>
    <row r="3" spans="4:9" s="25" customFormat="1">
      <c r="H3" s="25" t="s">
        <v>33</v>
      </c>
      <c r="I3" s="25" t="s">
        <v>34</v>
      </c>
    </row>
    <row r="4" spans="4:9" s="25" customFormat="1">
      <c r="D4" s="57" t="s">
        <v>35</v>
      </c>
      <c r="E4" s="25" t="s">
        <v>36</v>
      </c>
      <c r="F4" s="25" t="s">
        <v>37</v>
      </c>
      <c r="H4" s="25" t="s">
        <v>38</v>
      </c>
      <c r="I4" s="25" t="s">
        <v>38</v>
      </c>
    </row>
    <row r="5" spans="4:9" s="25" customFormat="1">
      <c r="D5" s="58" t="s">
        <v>39</v>
      </c>
      <c r="E5" s="58" t="s">
        <v>40</v>
      </c>
      <c r="F5" s="58" t="s">
        <v>15</v>
      </c>
      <c r="G5" s="58" t="s">
        <v>41</v>
      </c>
      <c r="H5" s="58" t="s">
        <v>42</v>
      </c>
      <c r="I5" s="58" t="s">
        <v>17</v>
      </c>
    </row>
    <row r="6" spans="4:9">
      <c r="D6" t="s">
        <v>70</v>
      </c>
      <c r="E6" s="28">
        <v>0.65</v>
      </c>
      <c r="F6" s="28">
        <v>0.02</v>
      </c>
      <c r="G6">
        <f>1-F6</f>
        <v>0.98</v>
      </c>
      <c r="H6" s="30">
        <f>E6*F6</f>
        <v>1.3000000000000001E-2</v>
      </c>
      <c r="I6">
        <f>H6/$H$8</f>
        <v>0.42622950819672134</v>
      </c>
    </row>
    <row r="7" spans="4:9">
      <c r="D7" s="60" t="s">
        <v>71</v>
      </c>
      <c r="E7" s="60">
        <v>0.35</v>
      </c>
      <c r="F7" s="62">
        <v>0.05</v>
      </c>
      <c r="G7" s="60">
        <f>1-F7</f>
        <v>0.95</v>
      </c>
      <c r="H7" s="63">
        <f>E7*F7</f>
        <v>1.7499999999999998E-2</v>
      </c>
      <c r="I7" s="64">
        <f>H7/$H$8</f>
        <v>0.57377049180327866</v>
      </c>
    </row>
    <row r="8" spans="4:9">
      <c r="F8" s="25" t="s">
        <v>16</v>
      </c>
      <c r="G8" s="25"/>
      <c r="H8" s="30">
        <f>SUM(H6:H7)</f>
        <v>3.0499999999999999E-2</v>
      </c>
      <c r="I8" s="65">
        <f>SUM(I6:I7)</f>
        <v>1</v>
      </c>
    </row>
    <row r="9" spans="4:9">
      <c r="F9" s="25"/>
      <c r="G9" s="25"/>
      <c r="H9" s="30"/>
      <c r="I9" s="65"/>
    </row>
    <row r="12" spans="4:9">
      <c r="E12" s="66" t="s">
        <v>72</v>
      </c>
      <c r="F12" s="66" t="s">
        <v>73</v>
      </c>
      <c r="G12" s="25"/>
    </row>
    <row r="13" spans="4:9">
      <c r="D13" s="66" t="s">
        <v>74</v>
      </c>
      <c r="E13" s="67">
        <f>E6*G6</f>
        <v>0.63700000000000001</v>
      </c>
      <c r="F13" s="68">
        <f>E6*F6</f>
        <v>1.3000000000000001E-2</v>
      </c>
      <c r="G13" s="30"/>
    </row>
    <row r="14" spans="4:9">
      <c r="D14" s="66" t="s">
        <v>75</v>
      </c>
      <c r="E14" s="70">
        <f>E7*G7</f>
        <v>0.33249999999999996</v>
      </c>
      <c r="F14" s="71">
        <f>E7*F7</f>
        <v>1.7499999999999998E-2</v>
      </c>
      <c r="G14" s="30"/>
    </row>
    <row r="15" spans="4:9">
      <c r="F15" s="69"/>
    </row>
    <row r="16" spans="4:9">
      <c r="F16" s="69"/>
    </row>
    <row r="17" spans="2:9">
      <c r="D17" s="27">
        <v>0.2</v>
      </c>
      <c r="E17" s="27">
        <v>0.5</v>
      </c>
      <c r="F17" s="27">
        <f>1-D17-E17</f>
        <v>0.30000000000000004</v>
      </c>
    </row>
    <row r="18" spans="2:9">
      <c r="F18" s="69"/>
    </row>
    <row r="19" spans="2:9">
      <c r="D19" s="27">
        <v>0.03</v>
      </c>
      <c r="E19" s="27">
        <v>0.02</v>
      </c>
      <c r="F19" s="27">
        <v>0.01</v>
      </c>
    </row>
    <row r="20" spans="2:9">
      <c r="D20" s="27">
        <f>1-D19</f>
        <v>0.97</v>
      </c>
      <c r="E20" s="27">
        <f>1-E19</f>
        <v>0.98</v>
      </c>
      <c r="F20" s="27">
        <f>1-F19</f>
        <v>0.99</v>
      </c>
    </row>
    <row r="23" spans="2:9">
      <c r="D23" s="64"/>
      <c r="E23" s="64" t="s">
        <v>76</v>
      </c>
      <c r="F23" s="64"/>
    </row>
    <row r="24" spans="2:9">
      <c r="D24" s="98" t="s">
        <v>77</v>
      </c>
      <c r="E24" s="99" t="s">
        <v>78</v>
      </c>
      <c r="F24" s="100" t="s">
        <v>79</v>
      </c>
    </row>
    <row r="25" spans="2:9">
      <c r="B25" s="609" t="s">
        <v>80</v>
      </c>
      <c r="C25" s="35" t="s">
        <v>64</v>
      </c>
      <c r="D25" s="101">
        <f>D17*D20</f>
        <v>0.19400000000000001</v>
      </c>
      <c r="E25" s="102">
        <f>E17*E20</f>
        <v>0.49</v>
      </c>
      <c r="F25" s="76">
        <f>F17*F20</f>
        <v>0.29700000000000004</v>
      </c>
      <c r="I25" s="34">
        <f>SUM(D25:F25)</f>
        <v>0.98099999999999998</v>
      </c>
    </row>
    <row r="26" spans="2:9">
      <c r="B26" s="609"/>
      <c r="C26" s="35" t="s">
        <v>65</v>
      </c>
      <c r="D26" s="103">
        <f>D17*D19</f>
        <v>6.0000000000000001E-3</v>
      </c>
      <c r="E26" s="104">
        <f>E17*E19</f>
        <v>0.01</v>
      </c>
      <c r="F26" s="78">
        <f>F17*F19</f>
        <v>3.0000000000000005E-3</v>
      </c>
      <c r="I26" s="34">
        <f>SUM(D26:F26)</f>
        <v>1.9E-2</v>
      </c>
    </row>
    <row r="29" spans="2:9">
      <c r="D29" s="34">
        <f t="shared" ref="D29:E29" si="0">D25+D26</f>
        <v>0.2</v>
      </c>
      <c r="E29" s="34">
        <f t="shared" si="0"/>
        <v>0.5</v>
      </c>
      <c r="F29" s="34">
        <f>F25+F26</f>
        <v>0.30000000000000004</v>
      </c>
    </row>
    <row r="31" spans="2:9">
      <c r="D31" s="33">
        <f>D26/$I$26</f>
        <v>0.31578947368421056</v>
      </c>
      <c r="E31" s="33">
        <f>E26/$I$26</f>
        <v>0.52631578947368418</v>
      </c>
      <c r="F31" s="33">
        <f>F26/$I$26</f>
        <v>0.15789473684210528</v>
      </c>
    </row>
    <row r="33" spans="5:5">
      <c r="E33" s="95">
        <f>D25*D26</f>
        <v>1.1640000000000001E-3</v>
      </c>
    </row>
  </sheetData>
  <mergeCells count="1">
    <mergeCell ref="B25:B2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4"/>
  <dimension ref="F8:P13"/>
  <sheetViews>
    <sheetView showGridLines="0" workbookViewId="0">
      <selection activeCell="T31" sqref="T31"/>
    </sheetView>
  </sheetViews>
  <sheetFormatPr defaultRowHeight="14.4"/>
  <sheetData>
    <row r="8" spans="6:16">
      <c r="P8">
        <v>31.88</v>
      </c>
    </row>
    <row r="9" spans="6:16">
      <c r="F9" s="120">
        <v>0.2</v>
      </c>
      <c r="G9" s="31"/>
      <c r="H9" s="79">
        <v>0.1636</v>
      </c>
      <c r="I9" s="120">
        <v>0.15</v>
      </c>
      <c r="P9">
        <v>31.59</v>
      </c>
    </row>
    <row r="10" spans="6:16">
      <c r="F10" s="94"/>
      <c r="G10" s="31"/>
      <c r="H10" s="34"/>
      <c r="I10" s="94"/>
      <c r="P10">
        <f>AVERAGE(P8,P9)</f>
        <v>31.734999999999999</v>
      </c>
    </row>
    <row r="11" spans="6:16">
      <c r="F11" s="94"/>
      <c r="G11" s="31"/>
      <c r="H11" s="34"/>
      <c r="I11" s="94"/>
      <c r="P11">
        <f>P8-P9</f>
        <v>0.28999999999999915</v>
      </c>
    </row>
    <row r="12" spans="6:16">
      <c r="F12" s="94"/>
      <c r="G12" s="31"/>
      <c r="H12" s="34"/>
      <c r="I12" s="94"/>
      <c r="P12" s="33">
        <f>P11/P10</f>
        <v>9.1381755159917807E-3</v>
      </c>
    </row>
    <row r="13" spans="6:16">
      <c r="F13" s="119">
        <v>0.85699999999999998</v>
      </c>
      <c r="G13" s="118"/>
      <c r="H13" s="117"/>
      <c r="I13" s="116">
        <v>1.0589999999999999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20</vt:i4>
      </vt:variant>
    </vt:vector>
  </HeadingPairs>
  <TitlesOfParts>
    <vt:vector size="84" baseType="lpstr">
      <vt:lpstr>Table of Contents</vt:lpstr>
      <vt:lpstr>QA1 Slide 4</vt:lpstr>
      <vt:lpstr>Ex 2.3</vt:lpstr>
      <vt:lpstr>QA1 Slide 6</vt:lpstr>
      <vt:lpstr>QA1 Slide 7</vt:lpstr>
      <vt:lpstr>QA1 Slide 13 </vt:lpstr>
      <vt:lpstr>QA1 Slide 14 based on this</vt:lpstr>
      <vt:lpstr>QA1 Slide 17</vt:lpstr>
      <vt:lpstr>QA 1 Slide 19</vt:lpstr>
      <vt:lpstr>8.2. Bayes Theorem p41</vt:lpstr>
      <vt:lpstr>8.2 Bayes Theorem  p43</vt:lpstr>
      <vt:lpstr>20.1.1</vt:lpstr>
      <vt:lpstr>20.1.2</vt:lpstr>
      <vt:lpstr>20.2.3</vt:lpstr>
      <vt:lpstr>709.1</vt:lpstr>
      <vt:lpstr>709.2</vt:lpstr>
      <vt:lpstr>709.3</vt:lpstr>
      <vt:lpstr>301.1</vt:lpstr>
      <vt:lpstr>QA2 Slide 3</vt:lpstr>
      <vt:lpstr>QA2 Slide 4</vt:lpstr>
      <vt:lpstr>QA2 Slide 6a</vt:lpstr>
      <vt:lpstr>QA2 Slide 6b</vt:lpstr>
      <vt:lpstr>QA2 Slide 7a</vt:lpstr>
      <vt:lpstr>QA2 Slide 7b</vt:lpstr>
      <vt:lpstr>QA2 Slide 8a</vt:lpstr>
      <vt:lpstr>QA2 Slide 8b</vt:lpstr>
      <vt:lpstr>QA2 Slide 10</vt:lpstr>
      <vt:lpstr>QA2 Slide 11</vt:lpstr>
      <vt:lpstr>QA2 Slide 12 </vt:lpstr>
      <vt:lpstr>QA2 Slide 15</vt:lpstr>
      <vt:lpstr>20.4.1</vt:lpstr>
      <vt:lpstr>20.40.3</vt:lpstr>
      <vt:lpstr>710.1</vt:lpstr>
      <vt:lpstr>710.2</vt:lpstr>
      <vt:lpstr>712-1-skew</vt:lpstr>
      <vt:lpstr>QA3-binomial</vt:lpstr>
      <vt:lpstr>QA3-binomial-tree</vt:lpstr>
      <vt:lpstr>QA3-Poisson</vt:lpstr>
      <vt:lpstr>QA3-normal_</vt:lpstr>
      <vt:lpstr>QA3-lognormal</vt:lpstr>
      <vt:lpstr>QA3-chi^2</vt:lpstr>
      <vt:lpstr>QA3-students-t</vt:lpstr>
      <vt:lpstr>QA3-F-distr</vt:lpstr>
      <vt:lpstr>QA3-triangular</vt:lpstr>
      <vt:lpstr>QA3-beta</vt:lpstr>
      <vt:lpstr>QA3-normal-mixture</vt:lpstr>
      <vt:lpstr>QA3-Normal_binomial_Poisson</vt:lpstr>
      <vt:lpstr>BT20.5.1</vt:lpstr>
      <vt:lpstr>BT20.5.2</vt:lpstr>
      <vt:lpstr>20.6.1.</vt:lpstr>
      <vt:lpstr>20.7.2</vt:lpstr>
      <vt:lpstr>20.7.3.</vt:lpstr>
      <vt:lpstr>arch</vt:lpstr>
      <vt:lpstr>pdf_CDF_source</vt:lpstr>
      <vt:lpstr>319.2 (2)</vt:lpstr>
      <vt:lpstr>319.1</vt:lpstr>
      <vt:lpstr>319.2</vt:lpstr>
      <vt:lpstr>8.2. Standard Normal pdf CDF</vt:lpstr>
      <vt:lpstr>8.2 Discrete Probabilities</vt:lpstr>
      <vt:lpstr>8.2 Probability Matrix</vt:lpstr>
      <vt:lpstr>8.2 Bayes Theorem p37-38</vt:lpstr>
      <vt:lpstr>302.2</vt:lpstr>
      <vt:lpstr>302.3</vt:lpstr>
      <vt:lpstr>interpolate</vt:lpstr>
      <vt:lpstr>'QA3-binomial-tree'!down</vt:lpstr>
      <vt:lpstr>Mean</vt:lpstr>
      <vt:lpstr>MeanB</vt:lpstr>
      <vt:lpstr>MeanF</vt:lpstr>
      <vt:lpstr>'20.4.1'!mu</vt:lpstr>
      <vt:lpstr>'QA2 Slide 11'!mu</vt:lpstr>
      <vt:lpstr>'QA2 Slide 12 '!mu</vt:lpstr>
      <vt:lpstr>'QA2 Slide 6a'!mu</vt:lpstr>
      <vt:lpstr>'QA2 Slide 6b'!mu</vt:lpstr>
      <vt:lpstr>'QA2 Slide 7a'!mu</vt:lpstr>
      <vt:lpstr>'QA2 Slide 7b'!mu</vt:lpstr>
      <vt:lpstr>'QA2 Slide 8a'!mu</vt:lpstr>
      <vt:lpstr>'QA2 Slide 8b'!mu</vt:lpstr>
      <vt:lpstr>'712-1-skew'!mu_X</vt:lpstr>
      <vt:lpstr>'20.7.2'!Print_Area</vt:lpstr>
      <vt:lpstr>'712-1-skew'!Print_Area</vt:lpstr>
      <vt:lpstr>'712-1-skew'!Prob</vt:lpstr>
      <vt:lpstr>'QA2 Slide 11'!sigma</vt:lpstr>
      <vt:lpstr>'QA2 Slide 12 '!sigma</vt:lpstr>
      <vt:lpstr>'QA3-binomial-tree'!up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Clay Carter</cp:lastModifiedBy>
  <dcterms:created xsi:type="dcterms:W3CDTF">2013-03-31T03:48:35Z</dcterms:created>
  <dcterms:modified xsi:type="dcterms:W3CDTF">2024-09-11T19:23:58Z</dcterms:modified>
</cp:coreProperties>
</file>