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cerifi.sharepoint.com/sites/BTDropbox/Shared Documents/Bionic Turtle FRM/BT-FRM-Content/FRM XLS/T6/T6-CR11-CR22-Malz/"/>
    </mc:Choice>
  </mc:AlternateContent>
  <xr:revisionPtr revIDLastSave="8" documentId="8_{1DB16791-B8AD-4971-9676-14AA3558E29F}" xr6:coauthVersionLast="47" xr6:coauthVersionMax="47" xr10:uidLastSave="{FB94766B-BC23-41B9-BD74-F10E98E50D0A}"/>
  <bookViews>
    <workbookView xWindow="-120" yWindow="-120" windowWidth="29040" windowHeight="15840" xr2:uid="{00000000-000D-0000-FFFF-FFFF00000000}"/>
  </bookViews>
  <sheets>
    <sheet name="TOC" sheetId="32" r:id="rId1"/>
    <sheet name="T6.304.1" sheetId="74" r:id="rId2"/>
    <sheet name="T6.304.2" sheetId="75" r:id="rId3"/>
    <sheet name="T6.305.1" sheetId="76" r:id="rId4"/>
    <sheet name="T6.307.1" sheetId="78" r:id="rId5"/>
    <sheet name="T6.307.2" sheetId="79" r:id="rId6"/>
    <sheet name="PD concepts--summary--Notes" sheetId="47" r:id="rId7"/>
    <sheet name="PD terminology (GARP17-p2-6-v2)" sheetId="2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INDEX_SHEET___ASAP_Utilities">TOC!$A$1</definedName>
    <definedName name="c_">'[1]Duration (5)'!$D$42</definedName>
    <definedName name="Coupon">#REF!</definedName>
    <definedName name="coupon_rate">[2]zspread_0726!$D$7</definedName>
    <definedName name="CouponRate">#REF!</definedName>
    <definedName name="deviate">'[3]7a.2 LVaR_v2 (deviate)'!$D$9:$J$9</definedName>
    <definedName name="face">[2]zspread_0726!$D$6</definedName>
    <definedName name="FV">#REF!</definedName>
    <definedName name="GEV_scale">[4]EVT!$I$11</definedName>
    <definedName name="GEV_tail">[4]EVT!$I$12</definedName>
    <definedName name="GPD_scale">[5]GPD!$D$2</definedName>
    <definedName name="GPD_tail">[5]GPD!$D$3</definedName>
    <definedName name="i">'[1]Duration (5)'!$D$46</definedName>
    <definedName name="K" localSheetId="7">[6]Sheet1!$D$5</definedName>
    <definedName name="k">'[1]Duration (5)'!$D$43</definedName>
    <definedName name="lambda">#REF!</definedName>
    <definedName name="LT_debt" localSheetId="7">[7]Merton_PD_LGD!$E$14:$J$14</definedName>
    <definedName name="LT_debt">'[8]6c.1 Merton_PD_LGD'!$E$12:$J$12</definedName>
    <definedName name="mean" localSheetId="6">'[9]NewlongtermOptions (2)'!#REF!</definedName>
    <definedName name="mean" localSheetId="7">'[9]NewlongtermOptions (2)'!#REF!</definedName>
    <definedName name="mean">'[9]NewlongtermOptions (2)'!#REF!</definedName>
    <definedName name="mean_" localSheetId="6">'[9]NewlongtermOptions (2)'!#REF!</definedName>
    <definedName name="mean_" localSheetId="7">'[9]NewlongtermOptions (2)'!#REF!</definedName>
    <definedName name="mean_">'[9]NewlongtermOptions (2)'!#REF!</definedName>
    <definedName name="mean2" localSheetId="6">'[9]NewlongtermOptions (2)'!#REF!</definedName>
    <definedName name="mean2" localSheetId="7">'[9]NewlongtermOptions (2)'!#REF!</definedName>
    <definedName name="mean2">'[9]NewlongtermOptions (2)'!#REF!</definedName>
    <definedName name="mu">'[3]7a.2 LVaR_v2 (deviate)'!$D$7:$J$7</definedName>
    <definedName name="N">'[1]Duration (5)'!$D$45</definedName>
    <definedName name="notional">'[10]Stulz 18.23'!$C$2</definedName>
    <definedName name="PV">#REF!</definedName>
    <definedName name="pvAccrualPayment" localSheetId="6">#REF!</definedName>
    <definedName name="pvAccrualPayment" localSheetId="7">#REF!</definedName>
    <definedName name="pvAccrualPayment">#REF!</definedName>
    <definedName name="pvPayments" localSheetId="6">#REF!</definedName>
    <definedName name="pvPayments" localSheetId="7">#REF!</definedName>
    <definedName name="pvPayments">#REF!</definedName>
    <definedName name="pvPayoff" localSheetId="6">#REF!</definedName>
    <definedName name="pvPayoff" localSheetId="7">#REF!</definedName>
    <definedName name="pvPayoff">#REF!</definedName>
    <definedName name="rate">[1]Sheet2!$B$10:$B$19</definedName>
    <definedName name="S">[2]zspread_0726!$D$4:$I$4</definedName>
    <definedName name="S_">'[11]Duration (9)'!$D$57</definedName>
    <definedName name="simga_">'[3]7a.2 LVaR_v2 (deviate)'!$D$6:$J$6</definedName>
    <definedName name="spread">'[3]7a.2 LVaR_v2 (deviate)'!$D$18:$J$18</definedName>
    <definedName name="spread_sigma">'[3]7a.2 LVaR_v2 (deviate)'!$D$19:$J$19</definedName>
    <definedName name="ST_debt" localSheetId="7">[7]Merton_PD_LGD!$E$13:$J$13</definedName>
    <definedName name="ST_debt">'[8]6c.1 Merton_PD_LGD'!$E$11:$J$11</definedName>
    <definedName name="SwapRate">#REF!</definedName>
    <definedName name="T" localSheetId="7">[10]Merton_PD_LGD!$E$17:$I$17</definedName>
    <definedName name="T">[2]zspread_0726!$D$3:$I$3</definedName>
    <definedName name="W">'[3]7a.2 LVaR_v2 (deviate)'!$D$5:$J$5</definedName>
    <definedName name="YTM">[2]zspread_0726!$D$35</definedName>
    <definedName name="Z">[2]zspread_0726!$C$18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79" l="1"/>
  <c r="E5" i="79" s="1"/>
  <c r="G3" i="79" s="1"/>
  <c r="F2" i="79"/>
  <c r="G2" i="79" s="1"/>
  <c r="F3" i="79" l="1"/>
  <c r="F4" i="79" s="1"/>
  <c r="F5" i="79" l="1"/>
  <c r="G4" i="79"/>
  <c r="G5" i="79" s="1"/>
  <c r="C18" i="79" l="1"/>
  <c r="G6" i="79"/>
  <c r="G7" i="79" s="1"/>
  <c r="C15" i="79"/>
  <c r="G8" i="79"/>
  <c r="C14" i="79"/>
  <c r="F8" i="79"/>
  <c r="F9" i="79" s="1"/>
  <c r="F6" i="79"/>
  <c r="F7" i="79" s="1"/>
  <c r="C23" i="79" l="1"/>
  <c r="G9" i="79"/>
  <c r="C20" i="79" s="1"/>
  <c r="C8" i="78" l="1"/>
  <c r="C9" i="78" s="1"/>
  <c r="C7" i="78"/>
  <c r="C27" i="76"/>
  <c r="C29" i="76" s="1"/>
  <c r="C26" i="76"/>
  <c r="C17" i="76"/>
  <c r="C22" i="76" s="1"/>
  <c r="C25" i="76" s="1"/>
  <c r="C8" i="75"/>
  <c r="C9" i="75" s="1"/>
  <c r="C6" i="75"/>
  <c r="C7" i="75" s="1"/>
  <c r="C8" i="74"/>
  <c r="C7" i="74"/>
  <c r="C4" i="74"/>
  <c r="C10" i="75" l="1"/>
  <c r="C11" i="75" s="1"/>
  <c r="C16" i="76"/>
  <c r="C21" i="76" s="1"/>
  <c r="C11" i="76" s="1"/>
  <c r="C20" i="76"/>
  <c r="C19" i="76" l="1"/>
  <c r="G4" i="47" l="1"/>
  <c r="F4" i="47"/>
  <c r="E5" i="47"/>
  <c r="E6" i="47" s="1"/>
  <c r="F3" i="47"/>
  <c r="G3" i="47" s="1"/>
  <c r="G5" i="47" l="1"/>
  <c r="G6" i="47" s="1"/>
  <c r="F5" i="47"/>
  <c r="C15" i="47"/>
  <c r="G7" i="47"/>
  <c r="C16" i="47" s="1"/>
  <c r="F6" i="47"/>
  <c r="G8" i="47" l="1"/>
  <c r="F7" i="47"/>
  <c r="F8" i="47" s="1"/>
  <c r="F9" i="47"/>
  <c r="F10" i="47" s="1"/>
  <c r="G9" i="47"/>
  <c r="C19" i="47" s="1"/>
  <c r="G10" i="47" l="1"/>
  <c r="C21" i="47" s="1"/>
  <c r="C24" i="47"/>
  <c r="E3" i="24" l="1"/>
  <c r="F3" i="24" s="1"/>
  <c r="E5" i="24"/>
  <c r="F5" i="24"/>
  <c r="G5" i="24"/>
  <c r="H5" i="24"/>
  <c r="I5" i="24"/>
  <c r="J5" i="24"/>
  <c r="K5" i="24"/>
  <c r="L5" i="24"/>
  <c r="M5" i="24"/>
  <c r="N5" i="24"/>
  <c r="O5" i="24"/>
  <c r="D10" i="24"/>
  <c r="D11" i="24"/>
  <c r="D12" i="24"/>
  <c r="E12" i="24"/>
  <c r="D17" i="24"/>
  <c r="D18" i="24" s="1"/>
  <c r="E17" i="24"/>
  <c r="E18" i="24" s="1"/>
  <c r="F17" i="24"/>
  <c r="F18" i="24" s="1"/>
  <c r="G17" i="24"/>
  <c r="G18" i="24" s="1"/>
  <c r="H17" i="24"/>
  <c r="H18" i="24" s="1"/>
  <c r="D24" i="24"/>
  <c r="E24" i="24"/>
  <c r="E33" i="24" s="1"/>
  <c r="D26" i="24"/>
  <c r="D27" i="24" s="1"/>
  <c r="E26" i="24"/>
  <c r="F29" i="24" s="1"/>
  <c r="F26" i="24"/>
  <c r="F27" i="24" s="1"/>
  <c r="G26" i="24"/>
  <c r="G27" i="24" s="1"/>
  <c r="D33" i="24"/>
  <c r="D34" i="24"/>
  <c r="D35" i="24" s="1"/>
  <c r="E34" i="24"/>
  <c r="E35" i="24" s="1"/>
  <c r="F38" i="24" s="1"/>
  <c r="F34" i="24"/>
  <c r="F35" i="24" s="1"/>
  <c r="G34" i="24"/>
  <c r="G35" i="24" s="1"/>
  <c r="E39" i="24" l="1"/>
  <c r="E40" i="24" s="1"/>
  <c r="E30" i="24"/>
  <c r="E31" i="24" s="1"/>
  <c r="G21" i="24"/>
  <c r="G22" i="24" s="1"/>
  <c r="E27" i="24"/>
  <c r="F28" i="24" s="1"/>
  <c r="G28" i="24"/>
  <c r="E11" i="24"/>
  <c r="E13" i="24" s="1"/>
  <c r="E15" i="24" s="1"/>
  <c r="E14" i="24" s="1"/>
  <c r="F30" i="24"/>
  <c r="F31" i="24" s="1"/>
  <c r="E10" i="24"/>
  <c r="G38" i="24"/>
  <c r="E29" i="24"/>
  <c r="E38" i="24"/>
  <c r="D36" i="24"/>
  <c r="E19" i="24"/>
  <c r="E20" i="24" s="1"/>
  <c r="E21" i="24"/>
  <c r="E22" i="24" s="1"/>
  <c r="F21" i="24"/>
  <c r="F22" i="24" s="1"/>
  <c r="H21" i="24"/>
  <c r="H22" i="24" s="1"/>
  <c r="G36" i="24"/>
  <c r="E28" i="24"/>
  <c r="F10" i="24"/>
  <c r="F12" i="24"/>
  <c r="F39" i="24" s="1"/>
  <c r="F40" i="24" s="1"/>
  <c r="G3" i="24"/>
  <c r="G30" i="24" s="1"/>
  <c r="G31" i="24" s="1"/>
  <c r="F11" i="24"/>
  <c r="F19" i="24"/>
  <c r="F20" i="24" s="1"/>
  <c r="F24" i="24"/>
  <c r="F33" i="24" s="1"/>
  <c r="G29" i="24"/>
  <c r="F36" i="24"/>
  <c r="E36" i="24"/>
  <c r="E37" i="24" s="1"/>
  <c r="F13" i="24" l="1"/>
  <c r="F15" i="24" s="1"/>
  <c r="F14" i="24" s="1"/>
  <c r="F37" i="24"/>
  <c r="G37" i="24"/>
  <c r="G24" i="24"/>
  <c r="G33" i="24" s="1"/>
  <c r="G10" i="24"/>
  <c r="G12" i="24"/>
  <c r="G39" i="24" s="1"/>
  <c r="G40" i="24" s="1"/>
  <c r="H3" i="24"/>
  <c r="G11" i="24"/>
  <c r="G13" i="24" s="1"/>
  <c r="G15" i="24" s="1"/>
  <c r="G14" i="24" s="1"/>
  <c r="G19" i="24"/>
  <c r="G20" i="24" s="1"/>
  <c r="H10" i="24" l="1"/>
  <c r="H12" i="24"/>
  <c r="I3" i="24"/>
  <c r="H11" i="24"/>
  <c r="H13" i="24" s="1"/>
  <c r="H15" i="24" s="1"/>
  <c r="H14" i="24" s="1"/>
  <c r="H19" i="24"/>
  <c r="H20" i="24" s="1"/>
  <c r="I10" i="24" l="1"/>
  <c r="I12" i="24"/>
  <c r="J3" i="24"/>
  <c r="I11" i="24"/>
  <c r="I13" i="24" s="1"/>
  <c r="I15" i="24" s="1"/>
  <c r="I14" i="24" s="1"/>
  <c r="J11" i="24" l="1"/>
  <c r="J13" i="24" s="1"/>
  <c r="J15" i="24" s="1"/>
  <c r="J14" i="24" s="1"/>
  <c r="J12" i="24"/>
  <c r="J10" i="24"/>
  <c r="K3" i="24"/>
  <c r="K11" i="24" l="1"/>
  <c r="K13" i="24" s="1"/>
  <c r="K15" i="24" s="1"/>
  <c r="K10" i="24"/>
  <c r="K12" i="24"/>
  <c r="L3" i="24"/>
  <c r="K14" i="24"/>
  <c r="M3" i="24" l="1"/>
  <c r="L11" i="24"/>
  <c r="L13" i="24" s="1"/>
  <c r="L15" i="24" s="1"/>
  <c r="L14" i="24" s="1"/>
  <c r="L10" i="24"/>
  <c r="L12" i="24"/>
  <c r="N3" i="24" l="1"/>
  <c r="M11" i="24"/>
  <c r="M13" i="24" s="1"/>
  <c r="M15" i="24" s="1"/>
  <c r="M14" i="24" s="1"/>
  <c r="M10" i="24"/>
  <c r="M12" i="24"/>
  <c r="N10" i="24" l="1"/>
  <c r="N12" i="24"/>
  <c r="O3" i="24"/>
  <c r="N11" i="24"/>
  <c r="N13" i="24" s="1"/>
  <c r="N15" i="24" s="1"/>
  <c r="N14" i="24" s="1"/>
  <c r="O10" i="24" l="1"/>
  <c r="O12" i="24"/>
  <c r="O11" i="24"/>
  <c r="O13" i="24" s="1"/>
  <c r="O15" i="24" s="1"/>
  <c r="O14" i="24" s="1"/>
</calcChain>
</file>

<file path=xl/sharedStrings.xml><?xml version="1.0" encoding="utf-8"?>
<sst xmlns="http://schemas.openxmlformats.org/spreadsheetml/2006/main" count="186" uniqueCount="139">
  <si>
    <t>Confidence</t>
  </si>
  <si>
    <t>K</t>
  </si>
  <si>
    <t>Unconditional PD</t>
  </si>
  <si>
    <t>Conditional</t>
  </si>
  <si>
    <t>Malz Table 8.1</t>
  </si>
  <si>
    <t>https://www.bionicturtle.com/forum/threads/garp-2013-p2-practice-exam-question-7-garp13-p2-7.10494</t>
  </si>
  <si>
    <t>https://www.bionicturtle.com/forum/threads/garp-part-2-questions-76-and-33-garp16-p2-76-garp16-p2-33.10018/</t>
  </si>
  <si>
    <t>https://www.bionicturtle.com/forum/threads/same-q-about-default-prob-2-different-answers-is-that-true-or-what-garp16-p2-33-garp15-p2-10.9592/</t>
  </si>
  <si>
    <t>https://www.bionicturtle.com/forum/threads/29-garp-2017-practice-exam.10504</t>
  </si>
  <si>
    <t>https://www.bionicturtle.com/forum/threads/garp-part-2-question-6-garp17-p2-6.10453/</t>
  </si>
  <si>
    <t>conditional PD = ratio of joint event (S, D) / survival</t>
  </si>
  <si>
    <t>marginal PD is the derivative of the cumulative PD</t>
  </si>
  <si>
    <t>cumulative PD = default time distribution = 1 - survival time distribution; also calls this an unconditional (see Ex 7.4) unfortunately</t>
  </si>
  <si>
    <t>Malz:</t>
  </si>
  <si>
    <t>Note: Malz calls the first derivative the "marginal PD"</t>
  </si>
  <si>
    <t>Note: Saunders calls the conditional PD the "marginal PD"</t>
  </si>
  <si>
    <t>Implied marginal PD</t>
  </si>
  <si>
    <t>Implied LR avg conditional PD</t>
  </si>
  <si>
    <t>Unconditional, Joint[survive ∩ conditional]</t>
  </si>
  <si>
    <t>Unconditional, PD_cuml(t) - PD_cuml(t-1)</t>
  </si>
  <si>
    <t>Cumulative PD, PD_cuml</t>
  </si>
  <si>
    <t>(Cuml) Survival time</t>
  </si>
  <si>
    <t>Conditional PD</t>
  </si>
  <si>
    <r>
      <t>Discrete (</t>
    </r>
    <r>
      <rPr>
        <b/>
        <sz val="11"/>
        <color rgb="FF0070C0"/>
        <rFont val="Calibri"/>
        <family val="2"/>
        <scheme val="minor"/>
      </rPr>
      <t>GARP17-P2-16-2nd version</t>
    </r>
    <r>
      <rPr>
        <sz val="11"/>
        <color theme="1"/>
        <rFont val="Calibri"/>
        <family val="2"/>
        <scheme val="minor"/>
      </rPr>
      <t>)</t>
    </r>
  </si>
  <si>
    <r>
      <t>Discrete (</t>
    </r>
    <r>
      <rPr>
        <b/>
        <sz val="11"/>
        <color rgb="FF0070C0"/>
        <rFont val="Calibri"/>
        <family val="2"/>
        <scheme val="minor"/>
      </rPr>
      <t>GARP17-P2-16-1st version</t>
    </r>
    <r>
      <rPr>
        <sz val="11"/>
        <color theme="1"/>
        <rFont val="Calibri"/>
        <family val="2"/>
        <scheme val="minor"/>
      </rPr>
      <t>)</t>
    </r>
  </si>
  <si>
    <t>Conditonal</t>
  </si>
  <si>
    <t>Marginal PD</t>
  </si>
  <si>
    <t>Implied LR avg λ</t>
  </si>
  <si>
    <t>Cumulative PD</t>
  </si>
  <si>
    <t>Hazard rate, non-constant</t>
  </si>
  <si>
    <t>Joint(S,D) = Unconditional</t>
  </si>
  <si>
    <t>Unconditional</t>
  </si>
  <si>
    <t>Hazard rate, constant</t>
  </si>
  <si>
    <t>Discrete-garp17-p2-6</t>
  </si>
  <si>
    <t>Hazard rate</t>
  </si>
  <si>
    <t>Hazard rate (constant)</t>
  </si>
  <si>
    <t>Sheet index:</t>
  </si>
  <si>
    <t>Malz Ex 7.2 (section 7.1)</t>
  </si>
  <si>
    <t>Malz section 7.2-hazard rate</t>
  </si>
  <si>
    <t>PD terminology (GARP17-p2-6-v2)</t>
  </si>
  <si>
    <t>Malz Table 8.1 ver2 (improved)</t>
  </si>
  <si>
    <t>Malz Ex 8.4 (single-factor)</t>
  </si>
  <si>
    <t>Malz Example 8.4 alternative</t>
  </si>
  <si>
    <t>Malz 9.1.2. (waterfall)</t>
  </si>
  <si>
    <t>Malz Table 9.1</t>
  </si>
  <si>
    <t>ARCH</t>
  </si>
  <si>
    <t>710.1</t>
  </si>
  <si>
    <t>710.2</t>
  </si>
  <si>
    <t>710.3Q</t>
  </si>
  <si>
    <t>710.3a</t>
  </si>
  <si>
    <t>Merton-Step2-PD (GARP17-p2-3)</t>
  </si>
  <si>
    <t>306.1</t>
  </si>
  <si>
    <t>306.2</t>
  </si>
  <si>
    <t>112.1 (2)</t>
  </si>
  <si>
    <t>zspread_0726 (3)</t>
  </si>
  <si>
    <t>Tuckman T 2.1</t>
  </si>
  <si>
    <t>Poisson_Exponential</t>
  </si>
  <si>
    <t>6c.3 Hull's Hazard Rate</t>
  </si>
  <si>
    <t>6c.3 Hull PDs</t>
  </si>
  <si>
    <t>T6.309.3</t>
  </si>
  <si>
    <t>T6.309.3 (2)</t>
  </si>
  <si>
    <t>312.2.</t>
  </si>
  <si>
    <t>313.1</t>
  </si>
  <si>
    <t>Malz T9.1</t>
  </si>
  <si>
    <t>Unconditional PD(3) = Cumul(3) - Cumul(2) =</t>
  </si>
  <si>
    <t>Notes:</t>
  </si>
  <si>
    <t>Marginal PD, ∂[Cum PD]/∂t = λ*exp(-λt)</t>
  </si>
  <si>
    <t>Cumulative PD = 1-exp(-λt)</t>
  </si>
  <si>
    <t>Cumul survival = exp(-λt)</t>
  </si>
  <si>
    <t>Years, t</t>
  </si>
  <si>
    <r>
      <t>•</t>
    </r>
    <r>
      <rPr>
        <sz val="12"/>
        <color theme="1"/>
        <rFont val="Cambria"/>
        <family val="1"/>
      </rPr>
      <t/>
    </r>
  </si>
  <si>
    <r>
      <rPr>
        <i/>
        <sz val="12"/>
        <color theme="1"/>
        <rFont val="Calibri"/>
        <family val="2"/>
        <scheme val="minor"/>
      </rPr>
      <t xml:space="preserve">instantaneous conditional </t>
    </r>
    <r>
      <rPr>
        <sz val="12"/>
        <color theme="1"/>
        <rFont val="Calibri"/>
        <family val="2"/>
        <scheme val="minor"/>
      </rPr>
      <t>default probability.</t>
    </r>
  </si>
  <si>
    <t>∩ Condl Default during 3rd Yr)</t>
  </si>
  <si>
    <r>
      <t xml:space="preserve">Unconditional (aka, </t>
    </r>
    <r>
      <rPr>
        <b/>
        <sz val="12"/>
        <color theme="8" tint="-0.249977111117893"/>
        <rFont val="Calibri"/>
        <family val="2"/>
        <scheme val="minor"/>
      </rPr>
      <t>Joint</t>
    </r>
    <r>
      <rPr>
        <b/>
        <sz val="12"/>
        <color theme="1"/>
        <rFont val="Calibri"/>
        <family val="2"/>
        <scheme val="minor"/>
      </rPr>
      <t>) PD</t>
    </r>
  </si>
  <si>
    <r>
      <t xml:space="preserve">Conditonal (aka, </t>
    </r>
    <r>
      <rPr>
        <b/>
        <sz val="12"/>
        <color theme="8" tint="-0.249977111117893"/>
        <rFont val="Calibri"/>
        <family val="2"/>
        <scheme val="minor"/>
      </rPr>
      <t>Forward</t>
    </r>
    <r>
      <rPr>
        <b/>
        <sz val="12"/>
        <color theme="1"/>
        <rFont val="Calibri"/>
        <family val="2"/>
        <scheme val="minor"/>
      </rPr>
      <t>) PD</t>
    </r>
  </si>
  <si>
    <r>
      <t>Hazard (1/</t>
    </r>
    <r>
      <rPr>
        <b/>
        <sz val="12"/>
        <color theme="1"/>
        <rFont val="Cambria"/>
        <family val="1"/>
        <scheme val="major"/>
      </rPr>
      <t>∞</t>
    </r>
    <r>
      <rPr>
        <b/>
        <sz val="12"/>
        <color theme="1"/>
        <rFont val="Calibri"/>
        <family val="2"/>
        <scheme val="minor"/>
      </rPr>
      <t xml:space="preserve"> condl PD), λ= </t>
    </r>
  </si>
  <si>
    <r>
      <rPr>
        <b/>
        <sz val="12"/>
        <color theme="1"/>
        <rFont val="Calibri"/>
        <family val="2"/>
        <scheme val="minor"/>
      </rPr>
      <t>Input</t>
    </r>
    <r>
      <rPr>
        <sz val="12"/>
        <color theme="1"/>
        <rFont val="Calibri"/>
        <family val="2"/>
        <scheme val="minor"/>
      </rPr>
      <t xml:space="preserve">: Hazard rate (aka, default intensity) is an </t>
    </r>
  </si>
  <si>
    <r>
      <t xml:space="preserve">Marginal PD is derivative of Cumulative PD but </t>
    </r>
    <r>
      <rPr>
        <i/>
        <sz val="12"/>
        <color rgb="FFC00000"/>
        <rFont val="Calibri"/>
        <family val="2"/>
        <scheme val="minor"/>
      </rPr>
      <t>not important.</t>
    </r>
  </si>
  <si>
    <t xml:space="preserve">Unconditional PD is aka Joint PD. Uncond PD(3) = </t>
  </si>
  <si>
    <t xml:space="preserve">Conditional PD(3) = Uncond_PD(3)/Cum_Survival(2) = </t>
  </si>
  <si>
    <t>Probabilities of default</t>
  </si>
  <si>
    <t>Beta</t>
  </si>
  <si>
    <t>d1</t>
  </si>
  <si>
    <t>d2</t>
  </si>
  <si>
    <t>N(d1)</t>
  </si>
  <si>
    <t>N(d2)</t>
  </si>
  <si>
    <t>N(-d1)</t>
  </si>
  <si>
    <t>N(-d2)</t>
  </si>
  <si>
    <t>Volatility, σ</t>
  </si>
  <si>
    <t>Asset price</t>
  </si>
  <si>
    <t>Riskfree rate, r</t>
  </si>
  <si>
    <t>Time/step, Δt</t>
  </si>
  <si>
    <t>Strike price</t>
  </si>
  <si>
    <t>d2 = [LN(62/40) + (10% - 38%^2/2)*1.0]/(38%*SQRT[1])</t>
  </si>
  <si>
    <t>d1 = d2 + sigma*SQRT(T)</t>
  </si>
  <si>
    <t>probability of default (PD) according to the Merton model</t>
  </si>
  <si>
    <t>expected return on the firm's assets (R )</t>
  </si>
  <si>
    <t>T6.24.12.1</t>
  </si>
  <si>
    <t>T6.309.1</t>
  </si>
  <si>
    <t>T6.310.1</t>
  </si>
  <si>
    <t>T6.310.2</t>
  </si>
  <si>
    <t>T6.310.3</t>
  </si>
  <si>
    <t>T6.311.1</t>
  </si>
  <si>
    <t>T6.311.2</t>
  </si>
  <si>
    <t>T6.24.19.1</t>
  </si>
  <si>
    <t>T6.24.19.2</t>
  </si>
  <si>
    <t>T6.24.19.3</t>
  </si>
  <si>
    <t>T6.301.3</t>
  </si>
  <si>
    <t>T6.303.1</t>
  </si>
  <si>
    <t>T6.303.2</t>
  </si>
  <si>
    <t>Systematic Risk</t>
  </si>
  <si>
    <t>Idiosyncratic</t>
  </si>
  <si>
    <t>Unconditional Default Probability (UD)</t>
  </si>
  <si>
    <t>inverse standard normal cumulative distribution (i.e., normal quantile function) of the unconditional probability of default</t>
  </si>
  <si>
    <t>mean of the conditional distribution is (-beta*m) and the distance to default = k - beta*m = -1.480;</t>
  </si>
  <si>
    <t>Distance to default</t>
  </si>
  <si>
    <t>Conditional variance</t>
  </si>
  <si>
    <t>Conditional St Deviation</t>
  </si>
  <si>
    <t>Normalised DD</t>
  </si>
  <si>
    <t>Implied Probability of Default</t>
  </si>
  <si>
    <t>factor' (m) that captures the correlation between default and the general state of the economy, and a shock</t>
  </si>
  <si>
    <t>Default and economic state correlation. (m)</t>
  </si>
  <si>
    <t>Actuarial default put</t>
  </si>
  <si>
    <t xml:space="preserve">expected loss given default (LGD) </t>
  </si>
  <si>
    <t>significance</t>
  </si>
  <si>
    <t>Actuarial expecred Loss (EL)</t>
  </si>
  <si>
    <t xml:space="preserve">expected future value of debt </t>
  </si>
  <si>
    <t xml:space="preserve">Implied Credit VaR (CVaR) </t>
  </si>
  <si>
    <t>Default per year</t>
  </si>
  <si>
    <t>defaults per month</t>
  </si>
  <si>
    <t>Probability of default next month</t>
  </si>
  <si>
    <t>Time interval</t>
  </si>
  <si>
    <t>Probability of no default</t>
  </si>
  <si>
    <t>Inputs</t>
  </si>
  <si>
    <t>Note: This single-factor model is sum of systemic risk contribution plus an idiosyncratic risk contribution:</t>
  </si>
  <si>
    <t>Face value of debt that is assumed as a zero coupon bond</t>
  </si>
  <si>
    <t>Quantile of future bond value</t>
  </si>
  <si>
    <t>T6.24.11.3</t>
  </si>
  <si>
    <t>T6.24.11.1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</si>
</sst>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70" formatCode="0.0%"/>
    <numFmt numFmtId="172" formatCode="0.0"/>
    <numFmt numFmtId="182" formatCode="_(* #,##0.000_);_(* \(#,##0.000\);_(* &quot;-&quot;??_);_(@_)"/>
    <numFmt numFmtId="183" formatCode="_(* #,##0_);_(* \(#,##0\);_(* &quot;-&quot;??_);_(@_)"/>
    <numFmt numFmtId="199" formatCode="0.00\ &quot;yrs&quot;"/>
    <numFmt numFmtId="201" formatCode="0\ &quot;yrs&quot;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rgb="FF0070C0"/>
      <name val="Calibri"/>
      <family val="2"/>
      <scheme val="minor"/>
    </font>
    <font>
      <b/>
      <sz val="13"/>
      <color indexed="18"/>
      <name val="Calibri"/>
      <family val="2"/>
      <scheme val="minor"/>
    </font>
    <font>
      <sz val="11"/>
      <color indexed="18"/>
      <name val="Calibri"/>
      <family val="2"/>
      <scheme val="minor"/>
    </font>
    <font>
      <sz val="12"/>
      <color theme="1"/>
      <name val="Cambria"/>
      <family val="1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2"/>
      <color theme="8" tint="-0.249977111117893"/>
      <name val="Calibri"/>
      <family val="2"/>
      <scheme val="minor"/>
    </font>
    <font>
      <sz val="11"/>
      <color rgb="FF1D1D1D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i/>
      <sz val="12"/>
      <color rgb="FFC00000"/>
      <name val="Calibri"/>
      <family val="2"/>
      <scheme val="minor"/>
    </font>
    <font>
      <b/>
      <sz val="11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2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4" fillId="0" borderId="0"/>
    <xf numFmtId="0" fontId="2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14"/>
    <xf numFmtId="0" fontId="7" fillId="0" borderId="0" xfId="15"/>
    <xf numFmtId="0" fontId="3" fillId="0" borderId="0" xfId="14" applyFont="1"/>
    <xf numFmtId="0" fontId="2" fillId="5" borderId="0" xfId="14" applyFill="1"/>
    <xf numFmtId="0" fontId="3" fillId="5" borderId="0" xfId="14" applyFont="1" applyFill="1"/>
    <xf numFmtId="10" fontId="0" fillId="0" borderId="0" xfId="16" applyNumberFormat="1" applyFont="1"/>
    <xf numFmtId="10" fontId="0" fillId="6" borderId="0" xfId="17" applyNumberFormat="1" applyFont="1" applyFill="1"/>
    <xf numFmtId="10" fontId="2" fillId="6" borderId="0" xfId="17" applyNumberFormat="1" applyFont="1" applyFill="1"/>
    <xf numFmtId="0" fontId="2" fillId="6" borderId="0" xfId="14" applyFill="1"/>
    <xf numFmtId="10" fontId="3" fillId="5" borderId="0" xfId="17" applyNumberFormat="1" applyFont="1" applyFill="1"/>
    <xf numFmtId="10" fontId="2" fillId="0" borderId="0" xfId="17" applyNumberFormat="1" applyFont="1"/>
    <xf numFmtId="10" fontId="3" fillId="4" borderId="0" xfId="17" applyNumberFormat="1" applyFont="1" applyFill="1"/>
    <xf numFmtId="0" fontId="3" fillId="2" borderId="1" xfId="14" applyFont="1" applyFill="1" applyBorder="1"/>
    <xf numFmtId="10" fontId="0" fillId="0" borderId="0" xfId="17" applyNumberFormat="1" applyFont="1"/>
    <xf numFmtId="10" fontId="2" fillId="0" borderId="0" xfId="14" applyNumberFormat="1"/>
    <xf numFmtId="170" fontId="3" fillId="4" borderId="0" xfId="14" applyNumberFormat="1" applyFont="1" applyFill="1"/>
    <xf numFmtId="9" fontId="2" fillId="0" borderId="0" xfId="14" applyNumberFormat="1"/>
    <xf numFmtId="0" fontId="13" fillId="0" borderId="0" xfId="0" applyFont="1"/>
    <xf numFmtId="0" fontId="16" fillId="0" borderId="0" xfId="0" applyFont="1"/>
    <xf numFmtId="170" fontId="16" fillId="4" borderId="0" xfId="0" applyNumberFormat="1" applyFont="1" applyFill="1"/>
    <xf numFmtId="170" fontId="16" fillId="0" borderId="0" xfId="2" applyNumberFormat="1" applyFont="1"/>
    <xf numFmtId="170" fontId="16" fillId="0" borderId="0" xfId="0" applyNumberFormat="1" applyFont="1"/>
    <xf numFmtId="0" fontId="17" fillId="0" borderId="0" xfId="0" applyFont="1"/>
    <xf numFmtId="170" fontId="18" fillId="0" borderId="0" xfId="0" applyNumberFormat="1" applyFont="1"/>
    <xf numFmtId="10" fontId="13" fillId="0" borderId="0" xfId="2" applyNumberFormat="1" applyFont="1"/>
    <xf numFmtId="0" fontId="19" fillId="0" borderId="0" xfId="0" applyFont="1"/>
    <xf numFmtId="0" fontId="13" fillId="0" borderId="0" xfId="0" applyFont="1" applyAlignment="1">
      <alignment horizontal="right"/>
    </xf>
    <xf numFmtId="0" fontId="13" fillId="0" borderId="0" xfId="0" quotePrefix="1" applyFont="1"/>
    <xf numFmtId="0" fontId="16" fillId="3" borderId="1" xfId="0" applyFont="1" applyFill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170" fontId="25" fillId="0" borderId="0" xfId="0" applyNumberFormat="1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4" fillId="0" borderId="1" xfId="0" applyFont="1" applyBorder="1"/>
    <xf numFmtId="0" fontId="27" fillId="0" borderId="0" xfId="0" applyFont="1"/>
    <xf numFmtId="170" fontId="27" fillId="4" borderId="0" xfId="0" applyNumberFormat="1" applyFont="1" applyFill="1" applyAlignment="1">
      <alignment horizontal="right"/>
    </xf>
    <xf numFmtId="170" fontId="15" fillId="4" borderId="0" xfId="0" applyNumberFormat="1" applyFont="1" applyFill="1"/>
    <xf numFmtId="170" fontId="27" fillId="4" borderId="0" xfId="0" applyNumberFormat="1" applyFont="1" applyFill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 wrapText="1"/>
    </xf>
    <xf numFmtId="10" fontId="15" fillId="4" borderId="0" xfId="2" applyNumberFormat="1" applyFont="1" applyFill="1"/>
    <xf numFmtId="0" fontId="28" fillId="0" borderId="0" xfId="0" applyFont="1"/>
    <xf numFmtId="43" fontId="15" fillId="2" borderId="0" xfId="1" applyFont="1" applyFill="1" applyAlignment="1">
      <alignment horizontal="right"/>
    </xf>
    <xf numFmtId="183" fontId="27" fillId="4" borderId="1" xfId="4" applyNumberFormat="1" applyFont="1" applyFill="1" applyBorder="1" applyAlignment="1">
      <alignment horizontal="left"/>
    </xf>
    <xf numFmtId="43" fontId="15" fillId="7" borderId="0" xfId="1" applyFont="1" applyFill="1"/>
    <xf numFmtId="172" fontId="27" fillId="4" borderId="0" xfId="0" applyNumberFormat="1" applyFont="1" applyFill="1" applyAlignment="1">
      <alignment horizontal="right"/>
    </xf>
    <xf numFmtId="43" fontId="15" fillId="5" borderId="0" xfId="1" applyFont="1" applyFill="1"/>
    <xf numFmtId="0" fontId="15" fillId="5" borderId="0" xfId="0" applyFont="1" applyFill="1"/>
    <xf numFmtId="10" fontId="15" fillId="7" borderId="0" xfId="2" applyNumberFormat="1" applyFont="1" applyFill="1"/>
    <xf numFmtId="8" fontId="27" fillId="4" borderId="0" xfId="4" applyNumberFormat="1" applyFont="1" applyFill="1"/>
    <xf numFmtId="199" fontId="27" fillId="4" borderId="0" xfId="0" applyNumberFormat="1" applyFont="1" applyFill="1"/>
    <xf numFmtId="170" fontId="27" fillId="5" borderId="0" xfId="0" applyNumberFormat="1" applyFont="1" applyFill="1"/>
    <xf numFmtId="8" fontId="27" fillId="5" borderId="0" xfId="4" applyNumberFormat="1" applyFont="1" applyFill="1"/>
    <xf numFmtId="8" fontId="27" fillId="7" borderId="0" xfId="4" applyNumberFormat="1" applyFont="1" applyFill="1"/>
    <xf numFmtId="170" fontId="15" fillId="5" borderId="0" xfId="0" applyNumberFormat="1" applyFont="1" applyFill="1"/>
    <xf numFmtId="182" fontId="27" fillId="5" borderId="0" xfId="1" applyNumberFormat="1" applyFont="1" applyFill="1" applyAlignment="1">
      <alignment horizontal="right" vertical="center"/>
    </xf>
    <xf numFmtId="201" fontId="27" fillId="4" borderId="0" xfId="0" applyNumberFormat="1" applyFont="1" applyFill="1"/>
    <xf numFmtId="0" fontId="15" fillId="0" borderId="1" xfId="0" applyFont="1" applyBorder="1"/>
    <xf numFmtId="9" fontId="15" fillId="5" borderId="0" xfId="2" applyFont="1" applyFill="1"/>
    <xf numFmtId="9" fontId="15" fillId="7" borderId="0" xfId="2" applyFont="1" applyFill="1"/>
    <xf numFmtId="0" fontId="9" fillId="0" borderId="0" xfId="0" applyFont="1"/>
    <xf numFmtId="0" fontId="10" fillId="0" borderId="0" xfId="0" applyFont="1"/>
    <xf numFmtId="0" fontId="0" fillId="0" borderId="0" xfId="0" quotePrefix="1" applyFill="1"/>
    <xf numFmtId="0" fontId="0" fillId="0" borderId="0" xfId="0" applyFill="1"/>
  </cellXfs>
  <cellStyles count="22">
    <cellStyle name="Comma" xfId="1" builtinId="3"/>
    <cellStyle name="Comma 2" xfId="3" xr:uid="{00000000-0005-0000-0000-000001000000}"/>
    <cellStyle name="Comma 2 2" xfId="4" xr:uid="{00000000-0005-0000-0000-000002000000}"/>
    <cellStyle name="Comma 3" xfId="5" xr:uid="{00000000-0005-0000-0000-000003000000}"/>
    <cellStyle name="Comma 4" xfId="6" xr:uid="{00000000-0005-0000-0000-000004000000}"/>
    <cellStyle name="Comma 5" xfId="21" xr:uid="{E611ECBA-0035-4EA9-B783-7C2D809C4809}"/>
    <cellStyle name="Currency 2" xfId="7" xr:uid="{00000000-0005-0000-0000-000006000000}"/>
    <cellStyle name="Currency 3" xfId="19" xr:uid="{F7A77311-ED06-4FBA-9A53-4994708A6439}"/>
    <cellStyle name="Hyperlink" xfId="15" builtinId="8"/>
    <cellStyle name="Normal" xfId="0" builtinId="0"/>
    <cellStyle name="Normal 2" xfId="8" xr:uid="{00000000-0005-0000-0000-000009000000}"/>
    <cellStyle name="Normal 2 2" xfId="9" xr:uid="{00000000-0005-0000-0000-00000A000000}"/>
    <cellStyle name="Normal 2 3" xfId="10" xr:uid="{00000000-0005-0000-0000-00000B000000}"/>
    <cellStyle name="Normal 3" xfId="18" xr:uid="{ECF0BA4F-2375-44DA-AC86-F36220A4FCE2}"/>
    <cellStyle name="Normal 73" xfId="14" xr:uid="{00000000-0005-0000-0000-00000C000000}"/>
    <cellStyle name="Percent" xfId="2" builtinId="5"/>
    <cellStyle name="Percent 2" xfId="11" xr:uid="{00000000-0005-0000-0000-00000F000000}"/>
    <cellStyle name="Percent 2 2" xfId="12" xr:uid="{00000000-0005-0000-0000-000010000000}"/>
    <cellStyle name="Percent 3" xfId="13" xr:uid="{00000000-0005-0000-0000-000011000000}"/>
    <cellStyle name="Percent 4" xfId="17" xr:uid="{00000000-0005-0000-0000-000012000000}"/>
    <cellStyle name="Percent 5" xfId="16" xr:uid="{00000000-0005-0000-0000-000013000000}"/>
    <cellStyle name="Percent 6" xfId="20" xr:uid="{257E48D7-F186-4B9B-BDFF-D39660309E76}"/>
  </cellStyles>
  <dxfs count="0"/>
  <tableStyles count="0" defaultTableStyle="TableStyleMedium2" defaultPivotStyle="PivotStyleLight16"/>
  <colors>
    <mruColors>
      <color rgb="FFFFFF99"/>
      <color rgb="FFCCFFCC"/>
      <color rgb="FFF2F0F6"/>
      <color rgb="FFFFFFCC"/>
      <color rgb="FFE1F4FF"/>
      <color rgb="FFCCFFFF"/>
      <color rgb="FFEBF6F9"/>
      <color rgb="FFEDF7F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2730640</xdr:colOff>
      <xdr:row>16</xdr:row>
      <xdr:rowOff>133394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D36913-4E1D-2D81-E636-2F55953B8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171700"/>
          <a:ext cx="2730640" cy="8572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Harper/Documents/_xls/Different%20Durations%20(FRM%20LO%2023.9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\bt-content\FRM\FRM%20XLS\T6\R43-Stulz-Ch18\R43-P2-T6-Stulz-Merton_v3-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ropbox/bt-content-shared/FRM/FRM%202012/Practice%20Questions/daily/T5_112_zsprea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\bt-content\FRM\arch\FRM%202013\Practice%20Questions\T7\T7.302_lva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\bt-content\FRM\FRM%202017\XLS\T5\R35-P2-T5-Dowd-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\dh-library\0-xls\_2009\2c\2.c.3.%20Rachev%20EV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Harper/Documents/_xls/credit/mertonMode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Harper/Documents/_xls/credit/merton_model_ver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ropbox/bt-content-shared/FRM/FRM%202013/library/T6Credit/XLS/Malz_default_probs_T6.c_2012_XLS_bundle_merton_credit_v101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vid%20Harper/My%20Documents/0_FRM/XLS/Greek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ration"/>
      <sheetName val="Black-Scholes (2)"/>
      <sheetName val="Duration (8)"/>
      <sheetName val="Duration (7)"/>
      <sheetName val="Duration (6)"/>
      <sheetName val="Duration (5)"/>
      <sheetName val="duration (4)"/>
      <sheetName val="Duration (2)"/>
      <sheetName val="Duration (3)"/>
      <sheetName val="Sheet2"/>
    </sheetNames>
    <sheetDataSet>
      <sheetData sheetId="0"/>
      <sheetData sheetId="1"/>
      <sheetData sheetId="2"/>
      <sheetData sheetId="3"/>
      <sheetData sheetId="4"/>
      <sheetData sheetId="5">
        <row r="42">
          <cell r="D42">
            <v>0.05</v>
          </cell>
        </row>
        <row r="43">
          <cell r="D43">
            <v>1</v>
          </cell>
        </row>
        <row r="45">
          <cell r="D45">
            <v>5</v>
          </cell>
        </row>
        <row r="46">
          <cell r="D46">
            <v>5.8268908123975824E-2</v>
          </cell>
        </row>
      </sheetData>
      <sheetData sheetId="6"/>
      <sheetData sheetId="7"/>
      <sheetData sheetId="8"/>
      <sheetData sheetId="9">
        <row r="2">
          <cell r="C2">
            <v>100</v>
          </cell>
        </row>
        <row r="10">
          <cell r="B10">
            <v>0.01</v>
          </cell>
        </row>
        <row r="11">
          <cell r="B11">
            <v>0.02</v>
          </cell>
        </row>
        <row r="12">
          <cell r="B12">
            <v>0.03</v>
          </cell>
        </row>
        <row r="13">
          <cell r="B13">
            <v>0.04</v>
          </cell>
        </row>
        <row r="14">
          <cell r="B14">
            <v>0.05</v>
          </cell>
        </row>
        <row r="15">
          <cell r="B15">
            <v>0.06</v>
          </cell>
        </row>
        <row r="16">
          <cell r="B16">
            <v>7.0000000000000007E-2</v>
          </cell>
        </row>
        <row r="17">
          <cell r="B17">
            <v>0.08</v>
          </cell>
        </row>
        <row r="18">
          <cell r="B18">
            <v>0.09</v>
          </cell>
        </row>
        <row r="19">
          <cell r="B19">
            <v>0.1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 18.1"/>
      <sheetName val="Merton-Step1-equity-value"/>
      <sheetName val="Merton-Step2-PD"/>
      <sheetName val="Fig 18.2"/>
      <sheetName val="404.3 (2)"/>
      <sheetName val="Example-p582-Subord"/>
      <sheetName val="18.1.3-Subord-charts"/>
      <sheetName val="18.1.3-Subordinated-debt-scen"/>
      <sheetName val="18.15"/>
      <sheetName val="Stulz_example_p582"/>
      <sheetName val="404.3"/>
      <sheetName val="bookmark"/>
      <sheetName val="Merton_subordinated"/>
      <sheetName val="Stulz' Merton"/>
      <sheetName val="Merton_PD_LGD"/>
      <sheetName val="Stulz_Chapter18_CreditSpread"/>
      <sheetName val="Stulz_example_p582 (another)"/>
      <sheetName val="Stulz 18.23_correct"/>
      <sheetName val="Stulz 18.23"/>
      <sheetName val="Sheet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7">
          <cell r="E17">
            <v>1</v>
          </cell>
          <cell r="F17">
            <v>5</v>
          </cell>
          <cell r="G17">
            <v>1</v>
          </cell>
          <cell r="H17">
            <v>1</v>
          </cell>
          <cell r="I17">
            <v>1</v>
          </cell>
        </row>
      </sheetData>
      <sheetData sheetId="15" refreshError="1"/>
      <sheetData sheetId="16" refreshError="1"/>
      <sheetData sheetId="17" refreshError="1"/>
      <sheetData sheetId="18">
        <row r="2">
          <cell r="C2">
            <v>100</v>
          </cell>
        </row>
      </sheetData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ration (9)"/>
      <sheetName val="C11-PCP"/>
    </sheetNames>
    <sheetDataSet>
      <sheetData sheetId="0">
        <row r="56">
          <cell r="D56">
            <v>0.75</v>
          </cell>
        </row>
        <row r="57">
          <cell r="D57">
            <v>0.75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2.1"/>
      <sheetName val="Sheet1"/>
      <sheetName val="zspread_0726"/>
    </sheetNames>
    <sheetDataSet>
      <sheetData sheetId="0" refreshError="1"/>
      <sheetData sheetId="1" refreshError="1"/>
      <sheetData sheetId="2" refreshError="1">
        <row r="3">
          <cell r="D3">
            <v>0.5</v>
          </cell>
          <cell r="E3">
            <v>1</v>
          </cell>
          <cell r="F3">
            <v>1.5</v>
          </cell>
          <cell r="G3">
            <v>2</v>
          </cell>
          <cell r="H3">
            <v>2.5</v>
          </cell>
          <cell r="I3">
            <v>3</v>
          </cell>
        </row>
        <row r="4">
          <cell r="D4">
            <v>2E-3</v>
          </cell>
          <cell r="E4">
            <v>3.0000000000000001E-3</v>
          </cell>
          <cell r="F4">
            <v>4.4000000000000003E-3</v>
          </cell>
          <cell r="G4">
            <v>6.0000000000000001E-3</v>
          </cell>
          <cell r="H4">
            <v>8.0000000000000002E-3</v>
          </cell>
          <cell r="I4">
            <v>0.01</v>
          </cell>
        </row>
        <row r="6">
          <cell r="D6">
            <v>100</v>
          </cell>
        </row>
        <row r="7">
          <cell r="D7">
            <v>0.02</v>
          </cell>
        </row>
        <row r="18">
          <cell r="C18">
            <v>1.7100000000000001E-2</v>
          </cell>
        </row>
        <row r="35">
          <cell r="D35">
            <v>9.8936699912118634E-3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7-302-2_and_t7-302-3"/>
      <sheetName val="302.1"/>
      <sheetName val="7a.2 LVaR_v2 (deviate)"/>
      <sheetName val="7a.2 LVaR_v2 (Dowd)"/>
      <sheetName val="Sheet2"/>
      <sheetName val="Sheet3"/>
    </sheetNames>
    <sheetDataSet>
      <sheetData sheetId="0"/>
      <sheetData sheetId="1"/>
      <sheetData sheetId="2">
        <row r="5">
          <cell r="D5">
            <v>10000000</v>
          </cell>
          <cell r="E5">
            <v>5000</v>
          </cell>
          <cell r="F5">
            <v>72000</v>
          </cell>
          <cell r="G5">
            <v>4400000</v>
          </cell>
          <cell r="H5">
            <v>9600000</v>
          </cell>
        </row>
        <row r="6">
          <cell r="D6">
            <v>0.01</v>
          </cell>
          <cell r="E6">
            <v>0.02</v>
          </cell>
          <cell r="F6">
            <v>1.24E-2</v>
          </cell>
          <cell r="G6">
            <v>8.0000000000000002E-3</v>
          </cell>
          <cell r="H6">
            <v>2.6563132345414384E-2</v>
          </cell>
        </row>
        <row r="7">
          <cell r="D7">
            <v>0</v>
          </cell>
          <cell r="E7">
            <v>0.01</v>
          </cell>
          <cell r="F7">
            <v>9.9999979138374329E-3</v>
          </cell>
          <cell r="G7">
            <v>9.9999979138374329E-3</v>
          </cell>
          <cell r="H7">
            <v>0</v>
          </cell>
        </row>
        <row r="9">
          <cell r="D9">
            <v>1.6448536269514715</v>
          </cell>
          <cell r="E9">
            <v>2.3263478740408408</v>
          </cell>
          <cell r="F9">
            <v>1.6448536269514715</v>
          </cell>
          <cell r="G9">
            <v>1.6448536269514715</v>
          </cell>
          <cell r="H9">
            <v>2.3263478740408408</v>
          </cell>
        </row>
        <row r="18">
          <cell r="D18">
            <v>1E-3</v>
          </cell>
          <cell r="E18">
            <v>5.0000000000000001E-3</v>
          </cell>
          <cell r="F18">
            <v>2.2222222222222222E-3</v>
          </cell>
          <cell r="G18">
            <v>2.5000000000000001E-3</v>
          </cell>
          <cell r="H18">
            <v>0.02</v>
          </cell>
        </row>
        <row r="19">
          <cell r="D19">
            <v>8.0000000000000002E-3</v>
          </cell>
          <cell r="E19">
            <v>0.01</v>
          </cell>
          <cell r="F19">
            <v>8.0000000000000002E-3</v>
          </cell>
          <cell r="G19">
            <v>8.0000000000000002E-3</v>
          </cell>
          <cell r="H19">
            <v>0.01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T"/>
      <sheetName val="EVT (GARP17-P2-1)"/>
      <sheetName val="EVT-Dowd's comparison"/>
      <sheetName val="Sheet4"/>
      <sheetName val="EVT (3)"/>
      <sheetName val="EVT (2)"/>
      <sheetName val="L2.T5.87 POT"/>
    </sheetNames>
    <sheetDataSet>
      <sheetData sheetId="0">
        <row r="11">
          <cell r="I11">
            <v>1</v>
          </cell>
        </row>
        <row r="12">
          <cell r="I12">
            <v>0.2</v>
          </cell>
        </row>
      </sheetData>
      <sheetData sheetId="1">
        <row r="25">
          <cell r="J25" t="str">
            <v>pdf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PD (2)"/>
      <sheetName val="Fig_I.3.20 (2)"/>
      <sheetName val="ExtremeValueTheoryDistributions"/>
      <sheetName val="Fig_I.3.20"/>
      <sheetName val="GPD"/>
    </sheetNames>
    <sheetDataSet>
      <sheetData sheetId="0"/>
      <sheetData sheetId="1"/>
      <sheetData sheetId="2"/>
      <sheetData sheetId="3"/>
      <sheetData sheetId="4">
        <row r="2">
          <cell r="D2">
            <v>0.8</v>
          </cell>
        </row>
        <row r="3">
          <cell r="D3">
            <v>0.15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rtonLGD"/>
      <sheetName val="MertonBS (2)"/>
      <sheetName val="MertonBS"/>
      <sheetName val="Black-Scholes"/>
      <sheetName val="Chart2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>
            <v>50</v>
          </cell>
        </row>
      </sheetData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rton_PD_LGD (2)"/>
      <sheetName val="Merton_PD_LGD"/>
    </sheetNames>
    <sheetDataSet>
      <sheetData sheetId="0"/>
      <sheetData sheetId="1">
        <row r="13">
          <cell r="E13">
            <v>7</v>
          </cell>
          <cell r="F13">
            <v>60</v>
          </cell>
          <cell r="G13">
            <v>60</v>
          </cell>
          <cell r="H13">
            <v>7</v>
          </cell>
          <cell r="I13">
            <v>60</v>
          </cell>
        </row>
        <row r="14">
          <cell r="E14">
            <v>6</v>
          </cell>
          <cell r="F14">
            <v>40</v>
          </cell>
          <cell r="G14">
            <v>80</v>
          </cell>
          <cell r="H14">
            <v>6</v>
          </cell>
          <cell r="I14">
            <v>80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6c.1 Merton_PD_LGD"/>
      <sheetName val="6c.2 Altman's Z"/>
      <sheetName val="6c.3 Hull's Hazard Rate"/>
      <sheetName val="6c.3 Hull PDs"/>
      <sheetName val="6c.3 Hull Exact PD (Table 22.3)"/>
      <sheetName val="6c.3 defaultExample_plusPrice"/>
      <sheetName val="6c.3 copula_time_to_default"/>
      <sheetName val="6c.3 copula_time_to_default_v2"/>
      <sheetName val="6c.4 Hull's CDS Valuation"/>
    </sheetNames>
    <sheetDataSet>
      <sheetData sheetId="0"/>
      <sheetData sheetId="1">
        <row r="11">
          <cell r="E11">
            <v>7</v>
          </cell>
          <cell r="F11">
            <v>60</v>
          </cell>
          <cell r="G11">
            <v>60</v>
          </cell>
          <cell r="H11">
            <v>7</v>
          </cell>
          <cell r="I11">
            <v>500</v>
          </cell>
        </row>
        <row r="12">
          <cell r="E12">
            <v>6</v>
          </cell>
          <cell r="F12">
            <v>40</v>
          </cell>
          <cell r="G12">
            <v>40</v>
          </cell>
          <cell r="H12">
            <v>6</v>
          </cell>
          <cell r="I12">
            <v>300</v>
          </cell>
        </row>
      </sheetData>
      <sheetData sheetId="2"/>
      <sheetData sheetId="3">
        <row r="5">
          <cell r="C5">
            <v>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longtermOptions (3)"/>
      <sheetName val="NewlongtermOptions (2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ionicturtle.com/forum/threads/same-q-about-default-prob-2-different-answers-is-that-true-or-what-garp16-p2-33-garp15-p2-10.9592/" TargetMode="External"/><Relationship Id="rId2" Type="http://schemas.openxmlformats.org/officeDocument/2006/relationships/hyperlink" Target="https://www.bionicturtle.com/forum/threads/garp-part-2-question-6-garp17-p2-6.10453/" TargetMode="External"/><Relationship Id="rId1" Type="http://schemas.openxmlformats.org/officeDocument/2006/relationships/hyperlink" Target="https://www.bionicturtle.com/forum/threads/29-garp-2017-practice-exam.10504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bionicturtle.com/forum/threads/garp-2013-p2-practice-exam-question-7-garp13-p2-7.10494" TargetMode="External"/><Relationship Id="rId4" Type="http://schemas.openxmlformats.org/officeDocument/2006/relationships/hyperlink" Target="https://www.bionicturtle.com/forum/threads/garp-part-2-questions-76-and-33-garp16-p2-76-garp16-p2-33.10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4"/>
  <sheetViews>
    <sheetView showGridLines="0" tabSelected="1" workbookViewId="0">
      <selection activeCell="B25" sqref="B25"/>
    </sheetView>
  </sheetViews>
  <sheetFormatPr defaultColWidth="9.21875" defaultRowHeight="14.4" x14ac:dyDescent="0.3"/>
  <cols>
    <col min="1" max="1" width="31.44140625" style="65" bestFit="1" customWidth="1"/>
    <col min="2" max="16384" width="9.21875" style="65"/>
  </cols>
  <sheetData>
    <row r="1" spans="1:1" ht="17.399999999999999" x14ac:dyDescent="0.35">
      <c r="A1" s="64" t="s">
        <v>36</v>
      </c>
    </row>
    <row r="2" spans="1:1" x14ac:dyDescent="0.3">
      <c r="A2" s="66" t="s">
        <v>37</v>
      </c>
    </row>
    <row r="3" spans="1:1" x14ac:dyDescent="0.3">
      <c r="A3" s="66" t="s">
        <v>38</v>
      </c>
    </row>
    <row r="4" spans="1:1" x14ac:dyDescent="0.3">
      <c r="A4" s="66" t="s">
        <v>39</v>
      </c>
    </row>
    <row r="5" spans="1:1" x14ac:dyDescent="0.3">
      <c r="A5" s="66" t="s">
        <v>4</v>
      </c>
    </row>
    <row r="6" spans="1:1" x14ac:dyDescent="0.3">
      <c r="A6" s="66" t="s">
        <v>40</v>
      </c>
    </row>
    <row r="7" spans="1:1" x14ac:dyDescent="0.3">
      <c r="A7" s="66" t="s">
        <v>41</v>
      </c>
    </row>
    <row r="8" spans="1:1" x14ac:dyDescent="0.3">
      <c r="A8" s="66" t="s">
        <v>42</v>
      </c>
    </row>
    <row r="9" spans="1:1" x14ac:dyDescent="0.3">
      <c r="A9" s="66" t="s">
        <v>43</v>
      </c>
    </row>
    <row r="10" spans="1:1" x14ac:dyDescent="0.3">
      <c r="A10" s="66" t="s">
        <v>44</v>
      </c>
    </row>
    <row r="11" spans="1:1" x14ac:dyDescent="0.3">
      <c r="A11" s="66" t="s">
        <v>45</v>
      </c>
    </row>
    <row r="12" spans="1:1" x14ac:dyDescent="0.3">
      <c r="A12" s="66" t="s">
        <v>46</v>
      </c>
    </row>
    <row r="13" spans="1:1" x14ac:dyDescent="0.3">
      <c r="A13" s="66" t="s">
        <v>47</v>
      </c>
    </row>
    <row r="14" spans="1:1" x14ac:dyDescent="0.3">
      <c r="A14" s="66" t="s">
        <v>48</v>
      </c>
    </row>
    <row r="15" spans="1:1" x14ac:dyDescent="0.3">
      <c r="A15" s="66" t="s">
        <v>49</v>
      </c>
    </row>
    <row r="16" spans="1:1" x14ac:dyDescent="0.3">
      <c r="A16" s="66" t="s">
        <v>50</v>
      </c>
    </row>
    <row r="17" spans="1:1" x14ac:dyDescent="0.3">
      <c r="A17" s="66" t="s">
        <v>51</v>
      </c>
    </row>
    <row r="18" spans="1:1" x14ac:dyDescent="0.3">
      <c r="A18" s="66" t="s">
        <v>52</v>
      </c>
    </row>
    <row r="19" spans="1:1" x14ac:dyDescent="0.3">
      <c r="A19" s="66" t="s">
        <v>53</v>
      </c>
    </row>
    <row r="20" spans="1:1" x14ac:dyDescent="0.3">
      <c r="A20" s="66" t="s">
        <v>54</v>
      </c>
    </row>
    <row r="21" spans="1:1" x14ac:dyDescent="0.3">
      <c r="A21" s="66" t="s">
        <v>55</v>
      </c>
    </row>
    <row r="22" spans="1:1" x14ac:dyDescent="0.3">
      <c r="A22" s="66" t="s">
        <v>56</v>
      </c>
    </row>
    <row r="23" spans="1:1" x14ac:dyDescent="0.3">
      <c r="A23" s="66" t="s">
        <v>57</v>
      </c>
    </row>
    <row r="24" spans="1:1" x14ac:dyDescent="0.3">
      <c r="A24" s="66" t="s">
        <v>58</v>
      </c>
    </row>
    <row r="25" spans="1:1" x14ac:dyDescent="0.3">
      <c r="A25" s="66" t="s">
        <v>59</v>
      </c>
    </row>
    <row r="26" spans="1:1" x14ac:dyDescent="0.3">
      <c r="A26" s="66" t="s">
        <v>60</v>
      </c>
    </row>
    <row r="27" spans="1:1" x14ac:dyDescent="0.3">
      <c r="A27" s="66" t="s">
        <v>61</v>
      </c>
    </row>
    <row r="28" spans="1:1" x14ac:dyDescent="0.3">
      <c r="A28" s="66" t="s">
        <v>62</v>
      </c>
    </row>
    <row r="29" spans="1:1" x14ac:dyDescent="0.3">
      <c r="A29" s="66" t="s">
        <v>63</v>
      </c>
    </row>
    <row r="30" spans="1:1" x14ac:dyDescent="0.3">
      <c r="A30" s="67" t="s">
        <v>138</v>
      </c>
    </row>
    <row r="31" spans="1:1" x14ac:dyDescent="0.3">
      <c r="A31" s="67" t="s">
        <v>137</v>
      </c>
    </row>
    <row r="32" spans="1:1" x14ac:dyDescent="0.3">
      <c r="A32" s="67" t="s">
        <v>97</v>
      </c>
    </row>
    <row r="33" spans="1:1" x14ac:dyDescent="0.3">
      <c r="A33" s="67" t="s">
        <v>98</v>
      </c>
    </row>
    <row r="34" spans="1:1" x14ac:dyDescent="0.3">
      <c r="A34" s="67" t="s">
        <v>99</v>
      </c>
    </row>
    <row r="35" spans="1:1" x14ac:dyDescent="0.3">
      <c r="A35" s="67" t="s">
        <v>100</v>
      </c>
    </row>
    <row r="36" spans="1:1" x14ac:dyDescent="0.3">
      <c r="A36" s="67" t="s">
        <v>101</v>
      </c>
    </row>
    <row r="37" spans="1:1" x14ac:dyDescent="0.3">
      <c r="A37" s="67" t="s">
        <v>102</v>
      </c>
    </row>
    <row r="38" spans="1:1" x14ac:dyDescent="0.3">
      <c r="A38" s="67" t="s">
        <v>103</v>
      </c>
    </row>
    <row r="39" spans="1:1" x14ac:dyDescent="0.3">
      <c r="A39" s="67" t="s">
        <v>104</v>
      </c>
    </row>
    <row r="40" spans="1:1" x14ac:dyDescent="0.3">
      <c r="A40" s="67" t="s">
        <v>105</v>
      </c>
    </row>
    <row r="41" spans="1:1" x14ac:dyDescent="0.3">
      <c r="A41" s="67" t="s">
        <v>106</v>
      </c>
    </row>
    <row r="42" spans="1:1" x14ac:dyDescent="0.3">
      <c r="A42" s="67" t="s">
        <v>107</v>
      </c>
    </row>
    <row r="43" spans="1:1" x14ac:dyDescent="0.3">
      <c r="A43" s="67" t="s">
        <v>108</v>
      </c>
    </row>
    <row r="44" spans="1:1" x14ac:dyDescent="0.3">
      <c r="A44" s="67" t="s">
        <v>109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E5740-AE10-4849-B894-6480D2197DDF}">
  <sheetPr>
    <tabColor rgb="FF92D050"/>
  </sheetPr>
  <dimension ref="B2:D11"/>
  <sheetViews>
    <sheetView showGridLines="0" workbookViewId="0">
      <selection activeCell="B8" sqref="B8"/>
    </sheetView>
  </sheetViews>
  <sheetFormatPr defaultColWidth="8.77734375" defaultRowHeight="13.8" x14ac:dyDescent="0.25"/>
  <cols>
    <col min="1" max="1" width="8.77734375" style="35"/>
    <col min="2" max="2" width="39.21875" style="35" customWidth="1"/>
    <col min="3" max="16384" width="8.77734375" style="35"/>
  </cols>
  <sheetData>
    <row r="2" spans="2:4" x14ac:dyDescent="0.25">
      <c r="B2" s="47" t="s">
        <v>133</v>
      </c>
      <c r="C2" s="37"/>
    </row>
    <row r="3" spans="2:4" x14ac:dyDescent="0.25">
      <c r="B3" s="38" t="s">
        <v>110</v>
      </c>
      <c r="C3" s="39">
        <v>0.7</v>
      </c>
    </row>
    <row r="4" spans="2:4" x14ac:dyDescent="0.25">
      <c r="B4" s="38" t="s">
        <v>111</v>
      </c>
      <c r="C4" s="39">
        <f>1-C3</f>
        <v>0.30000000000000004</v>
      </c>
    </row>
    <row r="5" spans="2:4" x14ac:dyDescent="0.25">
      <c r="B5" s="38" t="s">
        <v>112</v>
      </c>
      <c r="C5" s="39">
        <v>0.02</v>
      </c>
    </row>
    <row r="7" spans="2:4" x14ac:dyDescent="0.25">
      <c r="B7" s="38" t="s">
        <v>81</v>
      </c>
      <c r="C7" s="46">
        <f>SQRT(C3)</f>
        <v>0.83666002653407556</v>
      </c>
    </row>
    <row r="8" spans="2:4" x14ac:dyDescent="0.25">
      <c r="B8" s="38" t="s">
        <v>1</v>
      </c>
      <c r="C8" s="48">
        <f>_xlfn.NORM.S.INV(C5)</f>
        <v>-2.0537489106318225</v>
      </c>
      <c r="D8" s="35" t="s">
        <v>113</v>
      </c>
    </row>
    <row r="11" spans="2:4" x14ac:dyDescent="0.25">
      <c r="B11" s="45" t="s">
        <v>134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FAE0E-EBD1-4AE7-89FD-63A318634586}">
  <sheetPr>
    <tabColor rgb="FF92D050"/>
  </sheetPr>
  <dimension ref="B2:E11"/>
  <sheetViews>
    <sheetView showGridLines="0" workbookViewId="0">
      <selection activeCell="C20" sqref="C20"/>
    </sheetView>
  </sheetViews>
  <sheetFormatPr defaultColWidth="8.77734375" defaultRowHeight="13.8" x14ac:dyDescent="0.25"/>
  <cols>
    <col min="1" max="1" width="8.77734375" style="35"/>
    <col min="2" max="2" width="43.44140625" style="35" customWidth="1"/>
    <col min="3" max="3" width="8.77734375" style="35"/>
    <col min="4" max="4" width="0.6640625" style="35" customWidth="1"/>
    <col min="5" max="16384" width="8.77734375" style="35"/>
  </cols>
  <sheetData>
    <row r="2" spans="2:5" x14ac:dyDescent="0.25">
      <c r="B2" s="47" t="s">
        <v>133</v>
      </c>
      <c r="C2" s="37"/>
    </row>
    <row r="3" spans="2:5" x14ac:dyDescent="0.25">
      <c r="B3" s="36" t="s">
        <v>112</v>
      </c>
      <c r="C3" s="41">
        <v>0.03</v>
      </c>
    </row>
    <row r="4" spans="2:5" x14ac:dyDescent="0.25">
      <c r="B4" s="36" t="s">
        <v>121</v>
      </c>
      <c r="C4" s="49">
        <v>-1</v>
      </c>
      <c r="E4" s="35" t="s">
        <v>120</v>
      </c>
    </row>
    <row r="5" spans="2:5" x14ac:dyDescent="0.25">
      <c r="B5" s="36" t="s">
        <v>81</v>
      </c>
      <c r="C5" s="49">
        <v>0.4</v>
      </c>
    </row>
    <row r="6" spans="2:5" x14ac:dyDescent="0.25">
      <c r="B6" s="36" t="s">
        <v>1</v>
      </c>
      <c r="C6" s="50">
        <f>_xlfn.NORM.S.INV(C3)</f>
        <v>-1.8807936081512509</v>
      </c>
    </row>
    <row r="7" spans="2:5" x14ac:dyDescent="0.25">
      <c r="B7" s="36" t="s">
        <v>115</v>
      </c>
      <c r="C7" s="50">
        <f>C6-C5*C4</f>
        <v>-1.4807936081512509</v>
      </c>
      <c r="E7" s="35" t="s">
        <v>114</v>
      </c>
    </row>
    <row r="8" spans="2:5" x14ac:dyDescent="0.25">
      <c r="B8" s="36" t="s">
        <v>116</v>
      </c>
      <c r="C8" s="50">
        <f>1-C5^2</f>
        <v>0.84</v>
      </c>
    </row>
    <row r="9" spans="2:5" x14ac:dyDescent="0.25">
      <c r="B9" s="36" t="s">
        <v>117</v>
      </c>
      <c r="C9" s="50">
        <f>SQRT(C8)</f>
        <v>0.91651513899116799</v>
      </c>
    </row>
    <row r="10" spans="2:5" x14ac:dyDescent="0.25">
      <c r="B10" s="36" t="s">
        <v>118</v>
      </c>
      <c r="C10" s="50">
        <f>C7/C9</f>
        <v>-1.6156782852285441</v>
      </c>
    </row>
    <row r="11" spans="2:5" x14ac:dyDescent="0.25">
      <c r="B11" s="36" t="s">
        <v>119</v>
      </c>
      <c r="C11" s="52">
        <f>_xlfn.NORM.S.DIST(C10,TRUE)</f>
        <v>5.3081944119655201E-2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D66DF-2006-4A77-901B-F62ACDB3F763}">
  <sheetPr>
    <tabColor rgb="FF92D050"/>
  </sheetPr>
  <dimension ref="B2:D29"/>
  <sheetViews>
    <sheetView showGridLines="0" topLeftCell="A6" workbookViewId="0">
      <selection activeCell="C26" sqref="C26"/>
    </sheetView>
  </sheetViews>
  <sheetFormatPr defaultColWidth="8.77734375" defaultRowHeight="13.8" x14ac:dyDescent="0.25"/>
  <cols>
    <col min="1" max="1" width="8.77734375" style="35"/>
    <col min="2" max="2" width="42.33203125" style="35" customWidth="1"/>
    <col min="3" max="3" width="18.21875" style="36" customWidth="1"/>
    <col min="4" max="16384" width="8.77734375" style="35"/>
  </cols>
  <sheetData>
    <row r="2" spans="2:4" ht="27.6" x14ac:dyDescent="0.25">
      <c r="B2" s="42"/>
      <c r="C2" s="43" t="s">
        <v>80</v>
      </c>
    </row>
    <row r="3" spans="2:4" x14ac:dyDescent="0.25">
      <c r="B3" s="38" t="s">
        <v>89</v>
      </c>
      <c r="C3" s="53">
        <v>1000</v>
      </c>
    </row>
    <row r="4" spans="2:4" x14ac:dyDescent="0.25">
      <c r="B4" s="38" t="s">
        <v>88</v>
      </c>
      <c r="C4" s="40">
        <v>0.25</v>
      </c>
    </row>
    <row r="5" spans="2:4" x14ac:dyDescent="0.25">
      <c r="B5" s="36" t="s">
        <v>96</v>
      </c>
      <c r="C5" s="44">
        <v>0.12</v>
      </c>
    </row>
    <row r="6" spans="2:4" x14ac:dyDescent="0.25">
      <c r="B6" s="36"/>
    </row>
    <row r="7" spans="2:4" x14ac:dyDescent="0.25">
      <c r="B7" s="36"/>
    </row>
    <row r="8" spans="2:4" x14ac:dyDescent="0.25">
      <c r="B8" s="38" t="s">
        <v>91</v>
      </c>
      <c r="C8" s="54">
        <v>1</v>
      </c>
    </row>
    <row r="9" spans="2:4" x14ac:dyDescent="0.25">
      <c r="B9" s="38" t="s">
        <v>92</v>
      </c>
      <c r="C9" s="53">
        <v>800</v>
      </c>
      <c r="D9" s="36" t="s">
        <v>135</v>
      </c>
    </row>
    <row r="10" spans="2:4" x14ac:dyDescent="0.25">
      <c r="B10" s="38" t="s">
        <v>90</v>
      </c>
      <c r="C10" s="40">
        <v>0.03</v>
      </c>
    </row>
    <row r="11" spans="2:4" x14ac:dyDescent="0.25">
      <c r="B11" s="38" t="s">
        <v>122</v>
      </c>
      <c r="C11" s="53">
        <f>C22*C9*EXP(-C10*C8)+C21*C3</f>
        <v>149.48833846310987</v>
      </c>
    </row>
    <row r="12" spans="2:4" x14ac:dyDescent="0.25">
      <c r="B12" s="38" t="s">
        <v>125</v>
      </c>
      <c r="C12" s="53">
        <v>8.4</v>
      </c>
    </row>
    <row r="13" spans="2:4" x14ac:dyDescent="0.25">
      <c r="B13" s="38" t="s">
        <v>124</v>
      </c>
      <c r="C13" s="41">
        <v>1E-3</v>
      </c>
    </row>
    <row r="14" spans="2:4" x14ac:dyDescent="0.25">
      <c r="B14" s="38" t="s">
        <v>136</v>
      </c>
      <c r="C14" s="53">
        <v>503</v>
      </c>
    </row>
    <row r="16" spans="2:4" x14ac:dyDescent="0.25">
      <c r="B16" s="36" t="s">
        <v>82</v>
      </c>
      <c r="C16" s="59">
        <f>C17+C4*SQRT(C8)</f>
        <v>1.497574205256839</v>
      </c>
      <c r="D16" s="36" t="s">
        <v>94</v>
      </c>
    </row>
    <row r="17" spans="2:4" x14ac:dyDescent="0.25">
      <c r="B17" s="36" t="s">
        <v>83</v>
      </c>
      <c r="C17" s="59">
        <f>(LN(C3/C9)+(C5-0.5*C4^2)*C8)/(C4*SQRT(C8))</f>
        <v>1.247574205256839</v>
      </c>
      <c r="D17" s="36" t="s">
        <v>93</v>
      </c>
    </row>
    <row r="19" spans="2:4" x14ac:dyDescent="0.25">
      <c r="B19" s="38" t="s">
        <v>84</v>
      </c>
      <c r="C19" s="55">
        <f>_xlfn.NORM.S.DIST(C16,TRUE)</f>
        <v>0.93287804363568272</v>
      </c>
    </row>
    <row r="20" spans="2:4" x14ac:dyDescent="0.25">
      <c r="B20" s="38" t="s">
        <v>85</v>
      </c>
      <c r="C20" s="55">
        <f>_xlfn.NORM.S.DIST(C17,TRUE)</f>
        <v>0.8939064851511892</v>
      </c>
    </row>
    <row r="21" spans="2:4" x14ac:dyDescent="0.25">
      <c r="B21" s="38" t="s">
        <v>86</v>
      </c>
      <c r="C21" s="55">
        <f>_xlfn.NORM.S.DIST(-C16,TRUE)</f>
        <v>6.7121956364317253E-2</v>
      </c>
    </row>
    <row r="22" spans="2:4" x14ac:dyDescent="0.25">
      <c r="B22" s="38" t="s">
        <v>87</v>
      </c>
      <c r="C22" s="55">
        <f>_xlfn.NORM.S.DIST(-C17,TRUE)</f>
        <v>0.10609351484881077</v>
      </c>
      <c r="D22" s="36" t="s">
        <v>95</v>
      </c>
    </row>
    <row r="25" spans="2:4" x14ac:dyDescent="0.25">
      <c r="B25" s="38" t="s">
        <v>123</v>
      </c>
      <c r="C25" s="56">
        <f>C12/C22</f>
        <v>79.175433220121633</v>
      </c>
    </row>
    <row r="26" spans="2:4" x14ac:dyDescent="0.25">
      <c r="B26" s="38" t="s">
        <v>0</v>
      </c>
      <c r="C26" s="58">
        <f>1-C13</f>
        <v>0.999</v>
      </c>
    </row>
    <row r="27" spans="2:4" x14ac:dyDescent="0.25">
      <c r="B27" s="38" t="s">
        <v>126</v>
      </c>
      <c r="C27" s="56">
        <f>C9-C12</f>
        <v>791.6</v>
      </c>
    </row>
    <row r="28" spans="2:4" x14ac:dyDescent="0.25">
      <c r="B28" s="38"/>
    </row>
    <row r="29" spans="2:4" x14ac:dyDescent="0.25">
      <c r="B29" s="38" t="s">
        <v>127</v>
      </c>
      <c r="C29" s="57">
        <f>C27-C14</f>
        <v>288.60000000000002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E0A08-E677-4731-B23F-428681393421}">
  <sheetPr>
    <tabColor rgb="FF92D050"/>
  </sheetPr>
  <dimension ref="B2:C9"/>
  <sheetViews>
    <sheetView showGridLines="0" workbookViewId="0">
      <selection activeCell="F36" sqref="F36"/>
    </sheetView>
  </sheetViews>
  <sheetFormatPr defaultColWidth="8.77734375" defaultRowHeight="13.8" x14ac:dyDescent="0.25"/>
  <cols>
    <col min="1" max="1" width="8.77734375" style="36"/>
    <col min="2" max="2" width="31.77734375" style="36" customWidth="1"/>
    <col min="3" max="16384" width="8.77734375" style="36"/>
  </cols>
  <sheetData>
    <row r="2" spans="2:3" x14ac:dyDescent="0.25">
      <c r="B2" s="47" t="s">
        <v>133</v>
      </c>
      <c r="C2" s="61"/>
    </row>
    <row r="3" spans="2:3" x14ac:dyDescent="0.25">
      <c r="B3" s="36" t="s">
        <v>131</v>
      </c>
      <c r="C3" s="60">
        <v>1</v>
      </c>
    </row>
    <row r="4" spans="2:3" x14ac:dyDescent="0.25">
      <c r="B4" s="36" t="s">
        <v>128</v>
      </c>
      <c r="C4" s="36">
        <v>6</v>
      </c>
    </row>
    <row r="7" spans="2:3" x14ac:dyDescent="0.25">
      <c r="B7" s="36" t="s">
        <v>129</v>
      </c>
      <c r="C7" s="51">
        <f>C4/12</f>
        <v>0.5</v>
      </c>
    </row>
    <row r="8" spans="2:3" x14ac:dyDescent="0.25">
      <c r="B8" s="36" t="s">
        <v>130</v>
      </c>
      <c r="C8" s="62">
        <f>1-EXP(-C4/12)</f>
        <v>0.39346934028736658</v>
      </c>
    </row>
    <row r="9" spans="2:3" x14ac:dyDescent="0.25">
      <c r="B9" s="36" t="s">
        <v>132</v>
      </c>
      <c r="C9" s="63">
        <f>1-C8</f>
        <v>0.60653065971263342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6A28-31AC-402D-A747-E5CDAD3AD1EC}">
  <sheetPr>
    <tabColor rgb="FF92D050"/>
  </sheetPr>
  <dimension ref="A2:G23"/>
  <sheetViews>
    <sheetView showGridLines="0" workbookViewId="0">
      <selection activeCell="G7" sqref="G7"/>
    </sheetView>
  </sheetViews>
  <sheetFormatPr defaultRowHeight="14.4" x14ac:dyDescent="0.3"/>
  <cols>
    <col min="2" max="2" width="7.109375" customWidth="1"/>
    <col min="3" max="3" width="61.21875" customWidth="1"/>
  </cols>
  <sheetData>
    <row r="2" spans="1:7" ht="15.6" x14ac:dyDescent="0.3">
      <c r="A2" s="18"/>
      <c r="B2" s="18"/>
      <c r="C2" s="29" t="s">
        <v>69</v>
      </c>
      <c r="D2" s="29"/>
      <c r="E2" s="29">
        <v>1</v>
      </c>
      <c r="F2" s="29">
        <f>E2+1</f>
        <v>2</v>
      </c>
      <c r="G2" s="29">
        <f>F2+1</f>
        <v>3</v>
      </c>
    </row>
    <row r="3" spans="1:7" ht="15.6" x14ac:dyDescent="0.3">
      <c r="A3" s="18"/>
      <c r="B3" s="18"/>
      <c r="C3" s="19" t="s">
        <v>75</v>
      </c>
      <c r="D3" s="18"/>
      <c r="E3" s="20">
        <v>0.09</v>
      </c>
      <c r="F3" s="20">
        <f>$E$5</f>
        <v>8.6068814728771814E-2</v>
      </c>
      <c r="G3" s="20">
        <f>$E$5</f>
        <v>8.6068814728771814E-2</v>
      </c>
    </row>
    <row r="4" spans="1:7" ht="15.6" x14ac:dyDescent="0.3">
      <c r="A4" s="18"/>
      <c r="B4" s="18"/>
      <c r="C4" s="19" t="s">
        <v>68</v>
      </c>
      <c r="D4" s="18"/>
      <c r="E4" s="21">
        <f>EXP(-E3)</f>
        <v>0.91393118527122819</v>
      </c>
      <c r="F4" s="21">
        <f>EXP(-F3-E3)</f>
        <v>0.83856027605358585</v>
      </c>
      <c r="G4" s="21">
        <f>EXP(-G3-F3-E3)</f>
        <v>0.76940512361046276</v>
      </c>
    </row>
    <row r="5" spans="1:7" ht="15.6" x14ac:dyDescent="0.3">
      <c r="A5" s="18"/>
      <c r="B5" s="18"/>
      <c r="C5" s="19" t="s">
        <v>67</v>
      </c>
      <c r="D5" s="18"/>
      <c r="E5" s="22">
        <f>1-E4</f>
        <v>8.6068814728771814E-2</v>
      </c>
      <c r="F5" s="22">
        <f>1-F4</f>
        <v>0.16143972394641415</v>
      </c>
      <c r="G5" s="22">
        <f>1-G4</f>
        <v>0.23059487638953724</v>
      </c>
    </row>
    <row r="6" spans="1:7" ht="15.6" x14ac:dyDescent="0.3">
      <c r="A6" s="18"/>
      <c r="B6" s="18"/>
      <c r="C6" s="31" t="s">
        <v>27</v>
      </c>
      <c r="D6" s="23"/>
      <c r="E6" s="24"/>
      <c r="F6" s="22">
        <f>LN(1-F5)*-1/F2</f>
        <v>8.8034407364385878E-2</v>
      </c>
      <c r="G6" s="22">
        <f>LN(1-G5)*-1/G2</f>
        <v>8.7379209819181181E-2</v>
      </c>
    </row>
    <row r="7" spans="1:7" ht="15.6" x14ac:dyDescent="0.3">
      <c r="A7" s="18"/>
      <c r="B7" s="18"/>
      <c r="C7" s="32" t="s">
        <v>66</v>
      </c>
      <c r="D7" s="32"/>
      <c r="E7" s="33"/>
      <c r="F7" s="33">
        <f>F6*EXP(-F6*F2)</f>
        <v>7.3822156941693251E-2</v>
      </c>
      <c r="G7" s="33">
        <f>G6*EXP(-G6*G2)</f>
        <v>6.7230011731911662E-2</v>
      </c>
    </row>
    <row r="8" spans="1:7" ht="15.6" x14ac:dyDescent="0.3">
      <c r="A8" s="18"/>
      <c r="B8" s="18"/>
      <c r="C8" s="19" t="s">
        <v>73</v>
      </c>
      <c r="D8" s="18"/>
      <c r="E8" s="22"/>
      <c r="F8" s="21">
        <f>F5-E5</f>
        <v>7.5370909217642335E-2</v>
      </c>
      <c r="G8" s="21">
        <f>G5-F5</f>
        <v>6.9155152443123091E-2</v>
      </c>
    </row>
    <row r="9" spans="1:7" ht="15.6" x14ac:dyDescent="0.3">
      <c r="A9" s="18"/>
      <c r="B9" s="18"/>
      <c r="C9" s="19" t="s">
        <v>74</v>
      </c>
      <c r="D9" s="18"/>
      <c r="E9" s="22"/>
      <c r="F9" s="21">
        <f>F8/E4</f>
        <v>8.2468910605424245E-2</v>
      </c>
      <c r="G9" s="21">
        <f>G8/F4</f>
        <v>8.24689106054243E-2</v>
      </c>
    </row>
    <row r="10" spans="1:7" ht="15.6" x14ac:dyDescent="0.3">
      <c r="A10" s="18"/>
      <c r="B10" s="18"/>
      <c r="C10" s="18"/>
      <c r="D10" s="18"/>
      <c r="E10" s="18"/>
      <c r="F10" s="25"/>
      <c r="G10" s="25"/>
    </row>
    <row r="11" spans="1:7" ht="15.6" x14ac:dyDescent="0.3">
      <c r="A11" s="18"/>
      <c r="B11" s="26" t="s">
        <v>65</v>
      </c>
      <c r="C11" s="18"/>
      <c r="D11" s="18"/>
      <c r="E11" s="18"/>
      <c r="F11" s="18"/>
      <c r="G11" s="18"/>
    </row>
    <row r="12" spans="1:7" ht="15.6" x14ac:dyDescent="0.3">
      <c r="A12" s="18"/>
      <c r="B12" s="27" t="s">
        <v>70</v>
      </c>
      <c r="C12" s="18" t="s">
        <v>76</v>
      </c>
      <c r="D12" s="18"/>
      <c r="E12" s="18"/>
      <c r="F12" s="18"/>
      <c r="G12" s="18"/>
    </row>
    <row r="13" spans="1:7" ht="15.6" x14ac:dyDescent="0.3">
      <c r="A13" s="18"/>
      <c r="B13" s="18"/>
      <c r="C13" s="18" t="s">
        <v>71</v>
      </c>
      <c r="D13" s="18"/>
      <c r="E13" s="18"/>
      <c r="F13" s="18"/>
      <c r="G13" s="18"/>
    </row>
    <row r="14" spans="1:7" ht="15.6" x14ac:dyDescent="0.3">
      <c r="A14" s="18"/>
      <c r="B14" s="27" t="s">
        <v>70</v>
      </c>
      <c r="C14" s="18" t="str">
        <f>"Cumulative PD= 1-exp(-λt)= 1-exp(-"&amp;G3&amp;"*"&amp;G2&amp;")= "&amp;TEXT(G5,"0.0%")</f>
        <v>Cumulative PD= 1-exp(-λt)= 1-exp(-0.0860688147287718*3)= 23.1%</v>
      </c>
      <c r="D14" s="18"/>
      <c r="E14" s="18"/>
      <c r="F14" s="18"/>
      <c r="G14" s="18"/>
    </row>
    <row r="15" spans="1:7" ht="15.6" x14ac:dyDescent="0.3">
      <c r="A15" s="18"/>
      <c r="B15" s="27" t="s">
        <v>70</v>
      </c>
      <c r="C15" s="18" t="str">
        <f>"Implied LR avg λ= LN(1-PD_cuml)*-1/T= LN(1-"&amp;TEXT(G5,"0.0%")&amp;")*-1/"&amp;G2&amp;"= "&amp;TEXT(G6,"0.0%")</f>
        <v>Implied LR avg λ= LN(1-PD_cuml)*-1/T= LN(1-23.1%)*-1/3= 8.7%</v>
      </c>
      <c r="D15" s="18"/>
      <c r="E15" s="18"/>
      <c r="F15" s="18"/>
      <c r="G15" s="18"/>
    </row>
    <row r="16" spans="1:7" ht="15.6" x14ac:dyDescent="0.3">
      <c r="A16" s="18"/>
      <c r="B16" s="27" t="s">
        <v>70</v>
      </c>
      <c r="C16" s="18" t="s">
        <v>77</v>
      </c>
      <c r="D16" s="18"/>
      <c r="E16" s="18"/>
      <c r="F16" s="18"/>
      <c r="G16" s="18"/>
    </row>
    <row r="17" spans="1:7" ht="15.6" x14ac:dyDescent="0.3">
      <c r="A17" s="18"/>
      <c r="B17" s="27" t="s">
        <v>70</v>
      </c>
      <c r="C17" s="18" t="s">
        <v>64</v>
      </c>
      <c r="D17" s="18"/>
      <c r="E17" s="18"/>
      <c r="F17" s="18"/>
      <c r="G17" s="18"/>
    </row>
    <row r="18" spans="1:7" ht="15.6" x14ac:dyDescent="0.3">
      <c r="A18" s="18"/>
      <c r="B18" s="27"/>
      <c r="C18" s="18" t="str">
        <f>TEXT(G5,"0.0%")&amp;" - "&amp;TEXT(F5,"0.0%")&amp;" = "&amp;TEXT(G8,"0.0%")&amp;" ; i.e., from today's perspective."</f>
        <v>23.1% - 16.1% = 6.9% ; i.e., from today's perspective.</v>
      </c>
      <c r="D18" s="18"/>
      <c r="E18" s="18"/>
      <c r="F18" s="18"/>
      <c r="G18" s="18"/>
    </row>
    <row r="19" spans="1:7" ht="15.6" x14ac:dyDescent="0.3">
      <c r="A19" s="18"/>
      <c r="B19" s="27" t="s">
        <v>70</v>
      </c>
      <c r="C19" s="18" t="s">
        <v>78</v>
      </c>
      <c r="D19" s="18"/>
      <c r="E19" s="18"/>
      <c r="F19" s="18"/>
      <c r="G19" s="18"/>
    </row>
    <row r="20" spans="1:7" ht="15.6" x14ac:dyDescent="0.3">
      <c r="A20" s="18"/>
      <c r="B20" s="18"/>
      <c r="C20" s="18" t="str">
        <f>TEXT(F4,"0.0%")&amp;" × "&amp;TEXT(G9,"0.0%")&amp;" = "&amp;TEXT(G8,"0.0%")&amp;" ; i.e., Joint Prob(Cuml 2 Years"</f>
        <v>83.9% × 8.2% = 6.9% ; i.e., Joint Prob(Cuml 2 Years</v>
      </c>
      <c r="D20" s="18"/>
      <c r="E20" s="18"/>
      <c r="F20" s="18"/>
      <c r="G20" s="18"/>
    </row>
    <row r="21" spans="1:7" ht="15.6" x14ac:dyDescent="0.3">
      <c r="A21" s="18"/>
      <c r="B21" s="18"/>
      <c r="C21" s="30" t="s">
        <v>72</v>
      </c>
      <c r="D21" s="18"/>
      <c r="E21" s="18"/>
      <c r="F21" s="18"/>
      <c r="G21" s="18"/>
    </row>
    <row r="22" spans="1:7" ht="15.6" x14ac:dyDescent="0.3">
      <c r="A22" s="18"/>
      <c r="B22" s="27" t="s">
        <v>70</v>
      </c>
      <c r="C22" s="18" t="s">
        <v>79</v>
      </c>
      <c r="D22" s="18"/>
      <c r="E22" s="18"/>
      <c r="F22" s="18"/>
      <c r="G22" s="18"/>
    </row>
    <row r="23" spans="1:7" ht="15.6" x14ac:dyDescent="0.3">
      <c r="A23" s="18"/>
      <c r="B23" s="18"/>
      <c r="C23" s="28" t="str">
        <f>TEXT(G8,"0.0%")&amp;" ÷ "&amp;TEXT(F4,"0.0%")&amp;" = "&amp;TEXT(G9,"0.0%")</f>
        <v>6.9% ÷ 83.9% = 8.2%</v>
      </c>
      <c r="D23" s="18"/>
      <c r="E23" s="18"/>
      <c r="F23" s="18"/>
      <c r="G23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8205A-46B1-4D70-88B5-2868CE3EEBF0}">
  <dimension ref="B3:H27"/>
  <sheetViews>
    <sheetView showGridLines="0" workbookViewId="0">
      <selection activeCell="J37" sqref="J37"/>
    </sheetView>
  </sheetViews>
  <sheetFormatPr defaultColWidth="9.21875" defaultRowHeight="15.6" x14ac:dyDescent="0.3"/>
  <cols>
    <col min="1" max="3" width="3.5546875" style="18" customWidth="1"/>
    <col min="4" max="4" width="27.77734375" style="18" customWidth="1"/>
    <col min="5" max="7" width="8.77734375" style="18" customWidth="1"/>
    <col min="8" max="16384" width="9.21875" style="18"/>
  </cols>
  <sheetData>
    <row r="3" spans="2:8" x14ac:dyDescent="0.3">
      <c r="C3" s="29" t="s">
        <v>69</v>
      </c>
      <c r="D3" s="29"/>
      <c r="E3" s="29">
        <v>1</v>
      </c>
      <c r="F3" s="29">
        <f>E3+1</f>
        <v>2</v>
      </c>
      <c r="G3" s="29">
        <f>F3+1</f>
        <v>3</v>
      </c>
    </row>
    <row r="4" spans="2:8" x14ac:dyDescent="0.3">
      <c r="C4" s="19" t="s">
        <v>75</v>
      </c>
      <c r="E4" s="20">
        <v>0.09</v>
      </c>
      <c r="F4" s="20">
        <f>$E$4</f>
        <v>0.09</v>
      </c>
      <c r="G4" s="20">
        <f>$E$4</f>
        <v>0.09</v>
      </c>
    </row>
    <row r="5" spans="2:8" x14ac:dyDescent="0.3">
      <c r="C5" s="19" t="s">
        <v>68</v>
      </c>
      <c r="E5" s="21">
        <f>EXP(-E4)</f>
        <v>0.91393118527122819</v>
      </c>
      <c r="F5" s="21">
        <f>EXP(-F4-E4)</f>
        <v>0.835270211411272</v>
      </c>
      <c r="G5" s="21">
        <f>EXP(-G4-F4-E4)</f>
        <v>0.76337949433685315</v>
      </c>
    </row>
    <row r="6" spans="2:8" x14ac:dyDescent="0.3">
      <c r="C6" s="19" t="s">
        <v>67</v>
      </c>
      <c r="E6" s="22">
        <f>1-E5</f>
        <v>8.6068814728771814E-2</v>
      </c>
      <c r="F6" s="22">
        <f>1-F5</f>
        <v>0.164729788588728</v>
      </c>
      <c r="G6" s="22">
        <f>1-G5</f>
        <v>0.23662050566314685</v>
      </c>
    </row>
    <row r="7" spans="2:8" x14ac:dyDescent="0.3">
      <c r="C7" s="31" t="s">
        <v>27</v>
      </c>
      <c r="D7" s="23"/>
      <c r="E7" s="24"/>
      <c r="F7" s="22">
        <f>LN(1-F6)*-1/F3</f>
        <v>9.0000000000000011E-2</v>
      </c>
      <c r="G7" s="22">
        <f>LN(1-G6)*-1/G3</f>
        <v>9.0000000000000024E-2</v>
      </c>
      <c r="H7" s="22"/>
    </row>
    <row r="8" spans="2:8" x14ac:dyDescent="0.3">
      <c r="C8" s="32" t="s">
        <v>66</v>
      </c>
      <c r="D8" s="32"/>
      <c r="E8" s="33"/>
      <c r="F8" s="33">
        <f>F7*EXP(-F7*F3)</f>
        <v>7.5174319027014491E-2</v>
      </c>
      <c r="G8" s="33">
        <f>G7*EXP(-G7*G3)</f>
        <v>6.8704154490316804E-2</v>
      </c>
    </row>
    <row r="9" spans="2:8" x14ac:dyDescent="0.3">
      <c r="C9" s="19" t="s">
        <v>73</v>
      </c>
      <c r="E9" s="22"/>
      <c r="F9" s="21">
        <f>F6-E6</f>
        <v>7.8660973859956185E-2</v>
      </c>
      <c r="G9" s="21">
        <f>G6-F6</f>
        <v>7.1890717074418853E-2</v>
      </c>
    </row>
    <row r="10" spans="2:8" x14ac:dyDescent="0.3">
      <c r="C10" s="19" t="s">
        <v>74</v>
      </c>
      <c r="E10" s="22"/>
      <c r="F10" s="21">
        <f>F9/E5</f>
        <v>8.6068814728771828E-2</v>
      </c>
      <c r="G10" s="21">
        <f>G9/F5</f>
        <v>8.6068814728771842E-2</v>
      </c>
    </row>
    <row r="11" spans="2:8" x14ac:dyDescent="0.3">
      <c r="F11" s="25"/>
      <c r="G11" s="25"/>
    </row>
    <row r="12" spans="2:8" x14ac:dyDescent="0.3">
      <c r="B12" s="26" t="s">
        <v>65</v>
      </c>
    </row>
    <row r="13" spans="2:8" x14ac:dyDescent="0.3">
      <c r="B13" s="27" t="s">
        <v>70</v>
      </c>
      <c r="C13" s="18" t="s">
        <v>76</v>
      </c>
    </row>
    <row r="14" spans="2:8" x14ac:dyDescent="0.3">
      <c r="C14" s="18" t="s">
        <v>71</v>
      </c>
    </row>
    <row r="15" spans="2:8" x14ac:dyDescent="0.3">
      <c r="B15" s="27" t="s">
        <v>70</v>
      </c>
      <c r="C15" s="18" t="str">
        <f>"Cumulative PD= 1-exp(-λt)= 1-exp(-"&amp;G4&amp;"*"&amp;G3&amp;")= "&amp;TEXT(G6,"0.0%")</f>
        <v>Cumulative PD= 1-exp(-λt)= 1-exp(-0.09*3)= 23.7%</v>
      </c>
    </row>
    <row r="16" spans="2:8" x14ac:dyDescent="0.3">
      <c r="B16" s="27" t="s">
        <v>70</v>
      </c>
      <c r="C16" s="18" t="str">
        <f>"Implied LR avg λ= LN(1-PD_cuml)*-1/T= LN(1-"&amp;TEXT(G6,"0.0%")&amp;")*-1/"&amp;G3&amp;"= "&amp;TEXT(G7,"0.0%")</f>
        <v>Implied LR avg λ= LN(1-PD_cuml)*-1/T= LN(1-23.7%)*-1/3= 9.0%</v>
      </c>
    </row>
    <row r="17" spans="2:4" x14ac:dyDescent="0.3">
      <c r="B17" s="27" t="s">
        <v>70</v>
      </c>
      <c r="C17" s="18" t="s">
        <v>77</v>
      </c>
    </row>
    <row r="18" spans="2:4" x14ac:dyDescent="0.3">
      <c r="B18" s="27" t="s">
        <v>70</v>
      </c>
      <c r="C18" s="18" t="s">
        <v>64</v>
      </c>
    </row>
    <row r="19" spans="2:4" x14ac:dyDescent="0.3">
      <c r="B19" s="27"/>
      <c r="C19" s="18" t="str">
        <f>TEXT(G6,"0.0%")&amp;" - "&amp;TEXT(F6,"0.0%")&amp;" = "&amp;TEXT(G9,"0.0%")&amp;" ; i.e., from today's perspective."</f>
        <v>23.7% - 16.5% = 7.2% ; i.e., from today's perspective.</v>
      </c>
    </row>
    <row r="20" spans="2:4" x14ac:dyDescent="0.3">
      <c r="B20" s="27" t="s">
        <v>70</v>
      </c>
      <c r="C20" s="18" t="s">
        <v>78</v>
      </c>
    </row>
    <row r="21" spans="2:4" x14ac:dyDescent="0.3">
      <c r="C21" s="18" t="str">
        <f>TEXT(F5,"0.0%")&amp;" × "&amp;TEXT(G10,"0.0%")&amp;" = "&amp;TEXT(G9,"0.0%")&amp;" ; i.e., Joint Prob(Cuml 2 Years"</f>
        <v>83.5% × 8.6% = 7.2% ; i.e., Joint Prob(Cuml 2 Years</v>
      </c>
    </row>
    <row r="22" spans="2:4" x14ac:dyDescent="0.3">
      <c r="C22" s="30" t="s">
        <v>72</v>
      </c>
    </row>
    <row r="23" spans="2:4" x14ac:dyDescent="0.3">
      <c r="B23" s="27" t="s">
        <v>70</v>
      </c>
      <c r="C23" s="18" t="s">
        <v>79</v>
      </c>
    </row>
    <row r="24" spans="2:4" x14ac:dyDescent="0.3">
      <c r="C24" s="28" t="str">
        <f>TEXT(G9,"0.0%")&amp;" ÷ "&amp;TEXT(F5,"0.0%")&amp;" = "&amp;TEXT(G10,"0.0%")</f>
        <v>7.2% ÷ 83.5% = 8.6%</v>
      </c>
    </row>
    <row r="25" spans="2:4" x14ac:dyDescent="0.3">
      <c r="D25" s="28"/>
    </row>
    <row r="27" spans="2:4" x14ac:dyDescent="0.3">
      <c r="C27" s="34"/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O55"/>
  <sheetViews>
    <sheetView showGridLines="0" workbookViewId="0">
      <selection activeCell="G7" sqref="G7"/>
    </sheetView>
  </sheetViews>
  <sheetFormatPr defaultColWidth="9.21875" defaultRowHeight="14.4" x14ac:dyDescent="0.3"/>
  <cols>
    <col min="1" max="2" width="3.5546875" style="1" customWidth="1"/>
    <col min="3" max="3" width="33.77734375" style="1" customWidth="1"/>
    <col min="4" max="15" width="10.77734375" style="1" customWidth="1"/>
    <col min="16" max="16384" width="9.21875" style="1"/>
  </cols>
  <sheetData>
    <row r="3" spans="2:15" x14ac:dyDescent="0.3">
      <c r="D3" s="1">
        <v>1</v>
      </c>
      <c r="E3" s="1">
        <f t="shared" ref="E3:O3" si="0">D3+1</f>
        <v>2</v>
      </c>
      <c r="F3" s="1">
        <f t="shared" si="0"/>
        <v>3</v>
      </c>
      <c r="G3" s="1">
        <f t="shared" si="0"/>
        <v>4</v>
      </c>
      <c r="H3" s="1">
        <f t="shared" si="0"/>
        <v>5</v>
      </c>
      <c r="I3" s="1">
        <f t="shared" si="0"/>
        <v>6</v>
      </c>
      <c r="J3" s="1">
        <f t="shared" si="0"/>
        <v>7</v>
      </c>
      <c r="K3" s="1">
        <f t="shared" si="0"/>
        <v>8</v>
      </c>
      <c r="L3" s="1">
        <f t="shared" si="0"/>
        <v>9</v>
      </c>
      <c r="M3" s="1">
        <f t="shared" si="0"/>
        <v>10</v>
      </c>
      <c r="N3" s="1">
        <f t="shared" si="0"/>
        <v>11</v>
      </c>
      <c r="O3" s="1">
        <f t="shared" si="0"/>
        <v>12</v>
      </c>
    </row>
    <row r="4" spans="2:15" x14ac:dyDescent="0.3">
      <c r="B4" s="1" t="s">
        <v>22</v>
      </c>
    </row>
    <row r="5" spans="2:15" x14ac:dyDescent="0.3">
      <c r="C5" s="1" t="s">
        <v>35</v>
      </c>
      <c r="D5" s="16">
        <v>0.15</v>
      </c>
      <c r="E5" s="17">
        <f t="shared" ref="E5:O5" si="1">$D$5</f>
        <v>0.15</v>
      </c>
      <c r="F5" s="17">
        <f t="shared" si="1"/>
        <v>0.15</v>
      </c>
      <c r="G5" s="17">
        <f t="shared" si="1"/>
        <v>0.15</v>
      </c>
      <c r="H5" s="17">
        <f t="shared" si="1"/>
        <v>0.15</v>
      </c>
      <c r="I5" s="17">
        <f t="shared" si="1"/>
        <v>0.15</v>
      </c>
      <c r="J5" s="17">
        <f t="shared" si="1"/>
        <v>0.15</v>
      </c>
      <c r="K5" s="17">
        <f t="shared" si="1"/>
        <v>0.15</v>
      </c>
      <c r="L5" s="17">
        <f t="shared" si="1"/>
        <v>0.15</v>
      </c>
      <c r="M5" s="17">
        <f t="shared" si="1"/>
        <v>0.15</v>
      </c>
      <c r="N5" s="17">
        <f t="shared" si="1"/>
        <v>0.15</v>
      </c>
      <c r="O5" s="17">
        <f t="shared" si="1"/>
        <v>0.15</v>
      </c>
    </row>
    <row r="6" spans="2:15" x14ac:dyDescent="0.3">
      <c r="C6" s="1" t="s">
        <v>34</v>
      </c>
      <c r="D6" s="16">
        <v>0.15</v>
      </c>
      <c r="E6" s="16">
        <v>0.08</v>
      </c>
      <c r="F6" s="16">
        <v>0.11</v>
      </c>
      <c r="G6" s="16">
        <v>0.08</v>
      </c>
      <c r="H6" s="16">
        <v>0.03</v>
      </c>
    </row>
    <row r="7" spans="2:15" x14ac:dyDescent="0.3">
      <c r="C7" s="1" t="s">
        <v>33</v>
      </c>
      <c r="D7" s="16">
        <v>7.6999999999999999E-2</v>
      </c>
      <c r="E7" s="16">
        <v>7.0999999999999994E-2</v>
      </c>
      <c r="F7" s="16">
        <v>6.6000000000000003E-2</v>
      </c>
      <c r="G7" s="16">
        <v>6.0999999999999999E-2</v>
      </c>
    </row>
    <row r="9" spans="2:15" x14ac:dyDescent="0.3">
      <c r="B9" s="1" t="s">
        <v>32</v>
      </c>
    </row>
    <row r="10" spans="2:15" x14ac:dyDescent="0.3">
      <c r="C10" s="1" t="s">
        <v>21</v>
      </c>
      <c r="D10" s="6">
        <f t="shared" ref="D10:O10" si="2">EXP(-$D$5*D3)</f>
        <v>0.86070797642505781</v>
      </c>
      <c r="E10" s="6">
        <f t="shared" si="2"/>
        <v>0.74081822068171788</v>
      </c>
      <c r="F10" s="6">
        <f t="shared" si="2"/>
        <v>0.63762815162177333</v>
      </c>
      <c r="G10" s="6">
        <f t="shared" si="2"/>
        <v>0.54881163609402639</v>
      </c>
      <c r="H10" s="6">
        <f t="shared" si="2"/>
        <v>0.47236655274101469</v>
      </c>
      <c r="I10" s="6">
        <f t="shared" si="2"/>
        <v>0.40656965974059917</v>
      </c>
      <c r="J10" s="6">
        <f t="shared" si="2"/>
        <v>0.34993774911115533</v>
      </c>
      <c r="K10" s="6">
        <f t="shared" si="2"/>
        <v>0.30119421191220214</v>
      </c>
      <c r="L10" s="6">
        <f t="shared" si="2"/>
        <v>0.25924026064589156</v>
      </c>
      <c r="M10" s="6">
        <f t="shared" si="2"/>
        <v>0.22313016014842982</v>
      </c>
      <c r="N10" s="6">
        <f t="shared" si="2"/>
        <v>0.19204990862075413</v>
      </c>
      <c r="O10" s="6">
        <f t="shared" si="2"/>
        <v>0.16529888822158656</v>
      </c>
    </row>
    <row r="11" spans="2:15" x14ac:dyDescent="0.3">
      <c r="C11" s="1" t="s">
        <v>28</v>
      </c>
      <c r="D11" s="6">
        <f t="shared" ref="D11:O11" si="3">1-EXP(-$D$5*D3)</f>
        <v>0.13929202357494219</v>
      </c>
      <c r="E11" s="6">
        <f t="shared" si="3"/>
        <v>0.25918177931828212</v>
      </c>
      <c r="F11" s="6">
        <f t="shared" si="3"/>
        <v>0.36237184837822667</v>
      </c>
      <c r="G11" s="6">
        <f t="shared" si="3"/>
        <v>0.45118836390597361</v>
      </c>
      <c r="H11" s="6">
        <f t="shared" si="3"/>
        <v>0.52763344725898531</v>
      </c>
      <c r="I11" s="6">
        <f t="shared" si="3"/>
        <v>0.59343034025940078</v>
      </c>
      <c r="J11" s="6">
        <f t="shared" si="3"/>
        <v>0.65006225088884473</v>
      </c>
      <c r="K11" s="6">
        <f t="shared" si="3"/>
        <v>0.69880578808779781</v>
      </c>
      <c r="L11" s="6">
        <f t="shared" si="3"/>
        <v>0.74075973935410844</v>
      </c>
      <c r="M11" s="6">
        <f t="shared" si="3"/>
        <v>0.77686983985157021</v>
      </c>
      <c r="N11" s="6">
        <f t="shared" si="3"/>
        <v>0.80795009137924589</v>
      </c>
      <c r="O11" s="6">
        <f t="shared" si="3"/>
        <v>0.83470111177841344</v>
      </c>
    </row>
    <row r="12" spans="2:15" x14ac:dyDescent="0.3">
      <c r="C12" s="1" t="s">
        <v>26</v>
      </c>
      <c r="D12" s="6">
        <f t="shared" ref="D12:O12" si="4">$D$5*EXP(-$D$5*D3)</f>
        <v>0.12910619646375868</v>
      </c>
      <c r="E12" s="6">
        <f t="shared" si="4"/>
        <v>0.11112273310225768</v>
      </c>
      <c r="F12" s="6">
        <f t="shared" si="4"/>
        <v>9.5644222743265991E-2</v>
      </c>
      <c r="G12" s="6">
        <f t="shared" si="4"/>
        <v>8.2321745414103961E-2</v>
      </c>
      <c r="H12" s="6">
        <f t="shared" si="4"/>
        <v>7.0854982911152206E-2</v>
      </c>
      <c r="I12" s="6">
        <f t="shared" si="4"/>
        <v>6.0985448961089872E-2</v>
      </c>
      <c r="J12" s="6">
        <f t="shared" si="4"/>
        <v>5.2490662366673296E-2</v>
      </c>
      <c r="K12" s="6">
        <f t="shared" si="4"/>
        <v>4.517913178683032E-2</v>
      </c>
      <c r="L12" s="6">
        <f t="shared" si="4"/>
        <v>3.8886039096883734E-2</v>
      </c>
      <c r="M12" s="6">
        <f t="shared" si="4"/>
        <v>3.3469524022264469E-2</v>
      </c>
      <c r="N12" s="6">
        <f t="shared" si="4"/>
        <v>2.8807486293113117E-2</v>
      </c>
      <c r="O12" s="6">
        <f t="shared" si="4"/>
        <v>2.4794833233237983E-2</v>
      </c>
    </row>
    <row r="13" spans="2:15" x14ac:dyDescent="0.3">
      <c r="C13" s="1" t="s">
        <v>31</v>
      </c>
      <c r="D13" s="6"/>
      <c r="E13" s="6">
        <f t="shared" ref="E13:O13" si="5">E11-D11</f>
        <v>0.11988975574333993</v>
      </c>
      <c r="F13" s="6">
        <f t="shared" si="5"/>
        <v>0.10319006905994454</v>
      </c>
      <c r="G13" s="6">
        <f t="shared" si="5"/>
        <v>8.8816515527746942E-2</v>
      </c>
      <c r="H13" s="6">
        <f t="shared" si="5"/>
        <v>7.64450833530117E-2</v>
      </c>
      <c r="I13" s="6">
        <f t="shared" si="5"/>
        <v>6.5796893000415468E-2</v>
      </c>
      <c r="J13" s="6">
        <f t="shared" si="5"/>
        <v>5.6631910629443949E-2</v>
      </c>
      <c r="K13" s="6">
        <f t="shared" si="5"/>
        <v>4.874353719895308E-2</v>
      </c>
      <c r="L13" s="6">
        <f t="shared" si="5"/>
        <v>4.195395126631063E-2</v>
      </c>
      <c r="M13" s="6">
        <f t="shared" si="5"/>
        <v>3.6110100497461772E-2</v>
      </c>
      <c r="N13" s="6">
        <f t="shared" si="5"/>
        <v>3.1080251527675684E-2</v>
      </c>
      <c r="O13" s="6">
        <f t="shared" si="5"/>
        <v>2.6751020399167547E-2</v>
      </c>
    </row>
    <row r="14" spans="2:15" x14ac:dyDescent="0.3">
      <c r="C14" s="1" t="s">
        <v>30</v>
      </c>
      <c r="D14" s="6"/>
      <c r="E14" s="6">
        <f t="shared" ref="E14:O14" si="6">D10*E15</f>
        <v>0.11988975574333995</v>
      </c>
      <c r="F14" s="6">
        <f t="shared" si="6"/>
        <v>0.10319006905994456</v>
      </c>
      <c r="G14" s="6">
        <f t="shared" si="6"/>
        <v>8.8816515527746942E-2</v>
      </c>
      <c r="H14" s="6">
        <f t="shared" si="6"/>
        <v>7.64450833530117E-2</v>
      </c>
      <c r="I14" s="6">
        <f t="shared" si="6"/>
        <v>6.5796893000415468E-2</v>
      </c>
      <c r="J14" s="6">
        <f t="shared" si="6"/>
        <v>5.6631910629443942E-2</v>
      </c>
      <c r="K14" s="6">
        <f t="shared" si="6"/>
        <v>4.8743537198953087E-2</v>
      </c>
      <c r="L14" s="6">
        <f t="shared" si="6"/>
        <v>4.1953951266310623E-2</v>
      </c>
      <c r="M14" s="6">
        <f t="shared" si="6"/>
        <v>3.6110100497461772E-2</v>
      </c>
      <c r="N14" s="6">
        <f t="shared" si="6"/>
        <v>3.1080251527675688E-2</v>
      </c>
      <c r="O14" s="6">
        <f t="shared" si="6"/>
        <v>2.6751020399167554E-2</v>
      </c>
    </row>
    <row r="15" spans="2:15" x14ac:dyDescent="0.3">
      <c r="C15" s="1" t="s">
        <v>3</v>
      </c>
      <c r="E15" s="6">
        <f t="shared" ref="E15:O15" si="7">E13/(1-D11)</f>
        <v>0.13929202357494219</v>
      </c>
      <c r="F15" s="6">
        <f t="shared" si="7"/>
        <v>0.13929202357494216</v>
      </c>
      <c r="G15" s="6">
        <f t="shared" si="7"/>
        <v>0.1392920235749423</v>
      </c>
      <c r="H15" s="6">
        <f t="shared" si="7"/>
        <v>0.13929202357494216</v>
      </c>
      <c r="I15" s="6">
        <f t="shared" si="7"/>
        <v>0.13929202357494194</v>
      </c>
      <c r="J15" s="6">
        <f t="shared" si="7"/>
        <v>0.13929202357494264</v>
      </c>
      <c r="K15" s="6">
        <f t="shared" si="7"/>
        <v>0.13929202357494172</v>
      </c>
      <c r="L15" s="6">
        <f t="shared" si="7"/>
        <v>0.13929202357494228</v>
      </c>
      <c r="M15" s="6">
        <f t="shared" si="7"/>
        <v>0.13929202357494253</v>
      </c>
      <c r="N15" s="6">
        <f t="shared" si="7"/>
        <v>0.13929202357494208</v>
      </c>
      <c r="O15" s="6">
        <f t="shared" si="7"/>
        <v>0.13929202357494205</v>
      </c>
    </row>
    <row r="16" spans="2:15" x14ac:dyDescent="0.3">
      <c r="B16" s="1" t="s">
        <v>29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2:15" x14ac:dyDescent="0.3">
      <c r="C17" s="1" t="s">
        <v>21</v>
      </c>
      <c r="D17" s="6">
        <f>EXP(-D6)</f>
        <v>0.86070797642505781</v>
      </c>
      <c r="E17" s="6">
        <f>EXP(-E6-D6)</f>
        <v>0.79453360250333405</v>
      </c>
      <c r="F17" s="6">
        <f>EXP(-F6-E6-D6)</f>
        <v>0.71177032276260976</v>
      </c>
      <c r="G17" s="6">
        <f>EXP(-G6-F6-E6-D6)</f>
        <v>0.65704681981505675</v>
      </c>
      <c r="H17" s="6">
        <f>EXP(-H6-G6-F6-E6-D6)</f>
        <v>0.63762815162177333</v>
      </c>
      <c r="I17" s="6"/>
      <c r="J17" s="6"/>
      <c r="K17" s="6"/>
      <c r="L17" s="6"/>
      <c r="M17" s="6"/>
      <c r="N17" s="6"/>
      <c r="O17" s="6"/>
    </row>
    <row r="18" spans="2:15" x14ac:dyDescent="0.3">
      <c r="C18" s="1" t="s">
        <v>28</v>
      </c>
      <c r="D18" s="15">
        <f>1-D17</f>
        <v>0.13929202357494219</v>
      </c>
      <c r="E18" s="15">
        <f>1-E17</f>
        <v>0.20546639749666595</v>
      </c>
      <c r="F18" s="15">
        <f>1-F17</f>
        <v>0.28822967723739024</v>
      </c>
      <c r="G18" s="15">
        <f>1-G17</f>
        <v>0.34295318018494325</v>
      </c>
      <c r="H18" s="15">
        <f>1-H17</f>
        <v>0.36237184837822667</v>
      </c>
      <c r="I18" s="6"/>
      <c r="J18" s="6"/>
      <c r="K18" s="6"/>
      <c r="L18" s="6"/>
      <c r="M18" s="6"/>
      <c r="N18" s="6"/>
      <c r="O18" s="6"/>
    </row>
    <row r="19" spans="2:15" x14ac:dyDescent="0.3">
      <c r="C19" s="1" t="s">
        <v>27</v>
      </c>
      <c r="D19" s="15"/>
      <c r="E19" s="15">
        <f>LN(1-E18)*-1/E3</f>
        <v>0.11499999999999998</v>
      </c>
      <c r="F19" s="15">
        <f>LN(1-F18)*-1/F3</f>
        <v>0.1133333333333333</v>
      </c>
      <c r="G19" s="15">
        <f>LN(1-G18)*-1/G3</f>
        <v>0.10500000000000001</v>
      </c>
      <c r="H19" s="15">
        <f>LN(1-H18)*-1/H3</f>
        <v>0.09</v>
      </c>
      <c r="I19" s="6"/>
      <c r="J19" s="6"/>
      <c r="K19" s="6"/>
      <c r="L19" s="6"/>
      <c r="M19" s="6"/>
      <c r="N19" s="6"/>
      <c r="O19" s="6"/>
    </row>
    <row r="20" spans="2:15" x14ac:dyDescent="0.3">
      <c r="C20" s="1" t="s">
        <v>26</v>
      </c>
      <c r="D20" s="15"/>
      <c r="E20" s="15">
        <f>E19*EXP(-E19*E3)</f>
        <v>9.1371364287883394E-2</v>
      </c>
      <c r="F20" s="15">
        <f>F19*EXP(-F19*F3)</f>
        <v>8.0667303246429081E-2</v>
      </c>
      <c r="G20" s="15">
        <f>G19*EXP(-G19*G3)</f>
        <v>6.8989916080580971E-2</v>
      </c>
      <c r="H20" s="15">
        <f>H19*EXP(-H19*H3)</f>
        <v>5.7386533645959595E-2</v>
      </c>
      <c r="I20" s="6"/>
      <c r="J20" s="6"/>
      <c r="K20" s="6"/>
      <c r="L20" s="6"/>
      <c r="M20" s="6"/>
      <c r="N20" s="6"/>
      <c r="O20" s="6"/>
    </row>
    <row r="21" spans="2:15" x14ac:dyDescent="0.3">
      <c r="C21" s="1" t="s">
        <v>2</v>
      </c>
      <c r="E21" s="6">
        <f>E18-D18</f>
        <v>6.6174373921723761E-2</v>
      </c>
      <c r="F21" s="6">
        <f>F18-E18</f>
        <v>8.2763279740724283E-2</v>
      </c>
      <c r="G21" s="6">
        <f>G18-F18</f>
        <v>5.4723502947553015E-2</v>
      </c>
      <c r="H21" s="6">
        <f>H18-G18</f>
        <v>1.9418668193283417E-2</v>
      </c>
      <c r="I21" s="6"/>
      <c r="J21" s="6"/>
      <c r="K21" s="6"/>
      <c r="L21" s="6"/>
      <c r="M21" s="6"/>
      <c r="N21" s="6"/>
      <c r="O21" s="6"/>
    </row>
    <row r="22" spans="2:15" x14ac:dyDescent="0.3">
      <c r="C22" s="1" t="s">
        <v>25</v>
      </c>
      <c r="E22" s="6">
        <f>E21/D17</f>
        <v>7.6883653613364175E-2</v>
      </c>
      <c r="F22" s="6">
        <f>F21/E17</f>
        <v>0.10416586470347174</v>
      </c>
      <c r="G22" s="6">
        <f>G21/F17</f>
        <v>7.6883653613364328E-2</v>
      </c>
      <c r="H22" s="6">
        <f>H21/G17</f>
        <v>2.9554466451491717E-2</v>
      </c>
      <c r="I22" s="6"/>
      <c r="J22" s="6"/>
      <c r="K22" s="6"/>
      <c r="L22" s="6"/>
      <c r="M22" s="6"/>
      <c r="N22" s="6"/>
      <c r="O22" s="6"/>
    </row>
    <row r="23" spans="2:15" x14ac:dyDescent="0.3"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2:15" x14ac:dyDescent="0.3">
      <c r="B24" s="1" t="s">
        <v>24</v>
      </c>
      <c r="D24" s="13">
        <f>D3</f>
        <v>1</v>
      </c>
      <c r="E24" s="13">
        <f>E3</f>
        <v>2</v>
      </c>
      <c r="F24" s="13">
        <f>F3</f>
        <v>3</v>
      </c>
      <c r="G24" s="13">
        <f>G3</f>
        <v>4</v>
      </c>
      <c r="H24" s="6"/>
      <c r="I24" s="6"/>
      <c r="J24" s="6"/>
      <c r="K24" s="6"/>
      <c r="L24" s="6"/>
      <c r="M24" s="6"/>
      <c r="N24" s="6"/>
      <c r="O24" s="6"/>
    </row>
    <row r="25" spans="2:15" x14ac:dyDescent="0.3">
      <c r="C25" s="1" t="s">
        <v>22</v>
      </c>
      <c r="D25" s="12">
        <v>0.05</v>
      </c>
      <c r="E25" s="12">
        <v>0.08</v>
      </c>
      <c r="F25" s="12">
        <v>0.15</v>
      </c>
      <c r="G25" s="12">
        <v>0.24</v>
      </c>
      <c r="H25" s="6"/>
      <c r="I25" s="6"/>
      <c r="J25" s="6"/>
      <c r="K25" s="6"/>
      <c r="L25" s="6"/>
      <c r="M25" s="6"/>
      <c r="N25" s="6"/>
      <c r="O25" s="6"/>
    </row>
    <row r="26" spans="2:15" x14ac:dyDescent="0.3">
      <c r="C26" s="1" t="s">
        <v>21</v>
      </c>
      <c r="D26" s="11">
        <f>(1-D25)</f>
        <v>0.95</v>
      </c>
      <c r="E26" s="11">
        <f>(1-E25)*(1-D25)</f>
        <v>0.874</v>
      </c>
      <c r="F26" s="11">
        <f>(1-F25)*(1-E25)*(1-D25)</f>
        <v>0.7429</v>
      </c>
      <c r="G26" s="11">
        <f>(1-G25)*(1-F25)*(1-E25)*(1-D25)</f>
        <v>0.56460399999999999</v>
      </c>
      <c r="H26" s="6"/>
      <c r="I26" s="6"/>
      <c r="J26" s="6"/>
      <c r="K26" s="6"/>
      <c r="L26" s="6"/>
      <c r="M26" s="6"/>
      <c r="N26" s="6"/>
      <c r="O26" s="6"/>
    </row>
    <row r="27" spans="2:15" x14ac:dyDescent="0.3">
      <c r="C27" s="1" t="s">
        <v>20</v>
      </c>
      <c r="D27" s="11">
        <f>1-D26</f>
        <v>5.0000000000000044E-2</v>
      </c>
      <c r="E27" s="11">
        <f>1-E26</f>
        <v>0.126</v>
      </c>
      <c r="F27" s="11">
        <f>1-F26</f>
        <v>0.2571</v>
      </c>
      <c r="G27" s="11">
        <f>1-G26</f>
        <v>0.43539600000000001</v>
      </c>
      <c r="H27" s="6"/>
      <c r="I27" s="6"/>
      <c r="J27" s="6"/>
      <c r="K27" s="6"/>
      <c r="L27" s="6"/>
      <c r="M27" s="6"/>
      <c r="N27" s="6"/>
      <c r="O27" s="6"/>
    </row>
    <row r="28" spans="2:15" x14ac:dyDescent="0.3">
      <c r="C28" s="1" t="s">
        <v>19</v>
      </c>
      <c r="D28" s="11"/>
      <c r="E28" s="11">
        <f>E27-D27</f>
        <v>7.5999999999999956E-2</v>
      </c>
      <c r="F28" s="11">
        <f>F27-E27</f>
        <v>0.13109999999999999</v>
      </c>
      <c r="G28" s="10">
        <f>G27-F27</f>
        <v>0.17829600000000001</v>
      </c>
      <c r="H28" s="6"/>
      <c r="I28" s="6"/>
      <c r="J28" s="6"/>
      <c r="K28" s="6"/>
      <c r="L28" s="6"/>
      <c r="M28" s="6"/>
      <c r="N28" s="6"/>
      <c r="O28" s="6"/>
    </row>
    <row r="29" spans="2:15" x14ac:dyDescent="0.3">
      <c r="C29" s="1" t="s">
        <v>18</v>
      </c>
      <c r="D29" s="11"/>
      <c r="E29" s="11">
        <f>D26*E25</f>
        <v>7.5999999999999998E-2</v>
      </c>
      <c r="F29" s="11">
        <f>E26*F25</f>
        <v>0.13109999999999999</v>
      </c>
      <c r="G29" s="10">
        <f>F26*G25</f>
        <v>0.17829599999999998</v>
      </c>
      <c r="H29" s="6"/>
      <c r="I29" s="6"/>
      <c r="J29" s="6"/>
      <c r="K29" s="6"/>
      <c r="L29" s="6"/>
      <c r="M29" s="6"/>
      <c r="N29" s="6"/>
      <c r="O29" s="6"/>
    </row>
    <row r="30" spans="2:15" x14ac:dyDescent="0.3">
      <c r="C30" s="9" t="s">
        <v>17</v>
      </c>
      <c r="D30" s="8"/>
      <c r="E30" s="8">
        <f>1-E26^(1/E3)</f>
        <v>6.5120328598380572E-2</v>
      </c>
      <c r="F30" s="8">
        <f>1-F26^(1/F3)</f>
        <v>9.4315810975032166E-2</v>
      </c>
      <c r="G30" s="8">
        <f>1-G26^(1/G3)</f>
        <v>0.13316589968735237</v>
      </c>
      <c r="H30" s="6"/>
      <c r="I30" s="6"/>
      <c r="J30" s="6"/>
      <c r="K30" s="6"/>
      <c r="L30" s="6"/>
      <c r="M30" s="6"/>
      <c r="N30" s="6"/>
      <c r="O30" s="6"/>
    </row>
    <row r="31" spans="2:15" x14ac:dyDescent="0.3">
      <c r="C31" s="9" t="s">
        <v>16</v>
      </c>
      <c r="D31" s="8"/>
      <c r="E31" s="7">
        <f>-((1-E30)^E3)*LN(1-E30)</f>
        <v>5.8852932753724926E-2</v>
      </c>
      <c r="F31" s="7">
        <f>-((1-F30)^F3)*LN(1-F30)</f>
        <v>7.3595099468409725E-2</v>
      </c>
      <c r="G31" s="7">
        <f>-((1-G30)^G3)*LN(1-G30)</f>
        <v>8.0686241904642741E-2</v>
      </c>
      <c r="H31" s="6"/>
      <c r="I31" s="6"/>
      <c r="J31" s="6"/>
      <c r="K31" s="6"/>
      <c r="L31" s="6"/>
      <c r="M31" s="6"/>
      <c r="N31" s="6"/>
      <c r="O31" s="6"/>
    </row>
    <row r="32" spans="2:15" x14ac:dyDescent="0.3">
      <c r="D32" s="11"/>
      <c r="E32" s="14"/>
      <c r="F32" s="14"/>
      <c r="G32" s="14"/>
      <c r="H32" s="6"/>
      <c r="I32" s="6"/>
      <c r="J32" s="6"/>
      <c r="K32" s="6"/>
      <c r="L32" s="6"/>
      <c r="M32" s="6"/>
      <c r="N32" s="6"/>
      <c r="O32" s="6"/>
    </row>
    <row r="33" spans="2:15" x14ac:dyDescent="0.3">
      <c r="B33" s="1" t="s">
        <v>23</v>
      </c>
      <c r="D33" s="13">
        <f>D24</f>
        <v>1</v>
      </c>
      <c r="E33" s="13">
        <f>E24</f>
        <v>2</v>
      </c>
      <c r="F33" s="13">
        <f>F24</f>
        <v>3</v>
      </c>
      <c r="G33" s="13">
        <f>G24</f>
        <v>4</v>
      </c>
      <c r="H33" s="6"/>
      <c r="I33" s="6"/>
      <c r="J33" s="6"/>
      <c r="K33" s="6"/>
      <c r="L33" s="6"/>
      <c r="M33" s="6"/>
      <c r="N33" s="6"/>
      <c r="O33" s="6"/>
    </row>
    <row r="34" spans="2:15" x14ac:dyDescent="0.3">
      <c r="C34" s="1" t="s">
        <v>22</v>
      </c>
      <c r="D34" s="12">
        <f>D7</f>
        <v>7.6999999999999999E-2</v>
      </c>
      <c r="E34" s="12">
        <f>E7</f>
        <v>7.0999999999999994E-2</v>
      </c>
      <c r="F34" s="12">
        <f>F7</f>
        <v>6.6000000000000003E-2</v>
      </c>
      <c r="G34" s="12">
        <f>G7</f>
        <v>6.0999999999999999E-2</v>
      </c>
      <c r="H34" s="6"/>
      <c r="I34" s="6"/>
      <c r="J34" s="6"/>
      <c r="K34" s="6"/>
      <c r="L34" s="6"/>
      <c r="M34" s="6"/>
      <c r="N34" s="6"/>
      <c r="O34" s="6"/>
    </row>
    <row r="35" spans="2:15" x14ac:dyDescent="0.3">
      <c r="C35" s="1" t="s">
        <v>21</v>
      </c>
      <c r="D35" s="11">
        <f>(1-D34)</f>
        <v>0.92300000000000004</v>
      </c>
      <c r="E35" s="11">
        <f>(1-E34)*(1-D34)</f>
        <v>0.85746700000000009</v>
      </c>
      <c r="F35" s="11">
        <f>(1-F34)*(1-E34)*(1-D34)</f>
        <v>0.80087417800000005</v>
      </c>
      <c r="G35" s="11">
        <f>(1-G34)*(1-F34)*(1-E34)*(1-D34)</f>
        <v>0.75202085314200007</v>
      </c>
      <c r="H35" s="6"/>
      <c r="I35" s="6"/>
      <c r="J35" s="6"/>
      <c r="K35" s="6"/>
      <c r="L35" s="6"/>
      <c r="M35" s="6"/>
      <c r="N35" s="6"/>
      <c r="O35" s="6"/>
    </row>
    <row r="36" spans="2:15" x14ac:dyDescent="0.3">
      <c r="C36" s="1" t="s">
        <v>20</v>
      </c>
      <c r="D36" s="11">
        <f>1-D35</f>
        <v>7.6999999999999957E-2</v>
      </c>
      <c r="E36" s="11">
        <f>1-E35</f>
        <v>0.14253299999999991</v>
      </c>
      <c r="F36" s="11">
        <f>1-F35</f>
        <v>0.19912582199999995</v>
      </c>
      <c r="G36" s="11">
        <f>1-G35</f>
        <v>0.24797914685799993</v>
      </c>
      <c r="H36" s="6"/>
      <c r="I36" s="6"/>
      <c r="J36" s="6"/>
      <c r="K36" s="6"/>
      <c r="L36" s="6"/>
      <c r="M36" s="6"/>
      <c r="N36" s="6"/>
      <c r="O36" s="6"/>
    </row>
    <row r="37" spans="2:15" x14ac:dyDescent="0.3">
      <c r="C37" s="1" t="s">
        <v>19</v>
      </c>
      <c r="D37" s="11"/>
      <c r="E37" s="11">
        <f>E36-D36</f>
        <v>6.5532999999999952E-2</v>
      </c>
      <c r="F37" s="11">
        <f>F36-E36</f>
        <v>5.6592822000000043E-2</v>
      </c>
      <c r="G37" s="10">
        <f>G36-F36</f>
        <v>4.885332485799998E-2</v>
      </c>
      <c r="H37" s="6"/>
      <c r="I37" s="6"/>
      <c r="J37" s="6"/>
      <c r="K37" s="6"/>
      <c r="L37" s="6"/>
      <c r="M37" s="6"/>
      <c r="N37" s="6"/>
      <c r="O37" s="6"/>
    </row>
    <row r="38" spans="2:15" x14ac:dyDescent="0.3">
      <c r="C38" s="1" t="s">
        <v>18</v>
      </c>
      <c r="D38" s="11"/>
      <c r="E38" s="11">
        <f>D35*E34</f>
        <v>6.5532999999999994E-2</v>
      </c>
      <c r="F38" s="11">
        <f>E35*F34</f>
        <v>5.6592822000000008E-2</v>
      </c>
      <c r="G38" s="10">
        <f>F35*G34</f>
        <v>4.8853324858000001E-2</v>
      </c>
      <c r="H38" s="6"/>
      <c r="I38" s="6"/>
      <c r="J38" s="6"/>
      <c r="K38" s="6"/>
      <c r="L38" s="6"/>
      <c r="M38" s="6"/>
      <c r="N38" s="6"/>
      <c r="O38" s="6"/>
    </row>
    <row r="39" spans="2:15" x14ac:dyDescent="0.3">
      <c r="C39" s="9" t="s">
        <v>17</v>
      </c>
      <c r="D39" s="8"/>
      <c r="E39" s="8">
        <f>1-E35^(1/E12)</f>
        <v>0.74937776623656982</v>
      </c>
      <c r="F39" s="8">
        <f>1-F35^(1/F12)</f>
        <v>0.90188742238138953</v>
      </c>
      <c r="G39" s="8">
        <f>1-G35^(1/G12)</f>
        <v>0.96863049790493561</v>
      </c>
      <c r="H39" s="6"/>
      <c r="I39" s="6"/>
      <c r="J39" s="6"/>
      <c r="K39" s="6"/>
      <c r="L39" s="6"/>
      <c r="M39" s="6"/>
      <c r="N39" s="6"/>
      <c r="O39" s="6"/>
    </row>
    <row r="40" spans="2:15" x14ac:dyDescent="0.3">
      <c r="C40" s="9" t="s">
        <v>16</v>
      </c>
      <c r="D40" s="8"/>
      <c r="E40" s="7">
        <f>-((1-E39)^E12)*LN(1-E39)</f>
        <v>1.1865701387912542</v>
      </c>
      <c r="F40" s="7">
        <f>-((1-F39)^F12)*LN(1-F39)</f>
        <v>1.8593412930858613</v>
      </c>
      <c r="G40" s="7">
        <f>-((1-G39)^G12)*LN(1-G39)</f>
        <v>2.6034353768352196</v>
      </c>
      <c r="H40" s="6"/>
      <c r="I40" s="6"/>
      <c r="J40" s="6"/>
      <c r="K40" s="6"/>
      <c r="L40" s="6"/>
      <c r="M40" s="6"/>
      <c r="N40" s="6"/>
      <c r="O40" s="6"/>
    </row>
    <row r="43" spans="2:15" x14ac:dyDescent="0.3">
      <c r="C43" s="5" t="s">
        <v>15</v>
      </c>
      <c r="D43" s="4"/>
      <c r="E43" s="4"/>
      <c r="F43" s="4"/>
      <c r="G43" s="4"/>
      <c r="H43" s="4"/>
    </row>
    <row r="44" spans="2:15" x14ac:dyDescent="0.3">
      <c r="C44" s="5" t="s">
        <v>14</v>
      </c>
      <c r="D44" s="4"/>
      <c r="E44" s="4"/>
      <c r="F44" s="4"/>
      <c r="G44" s="4"/>
      <c r="H44" s="4"/>
    </row>
    <row r="46" spans="2:15" x14ac:dyDescent="0.3">
      <c r="C46" s="3" t="s">
        <v>13</v>
      </c>
    </row>
    <row r="47" spans="2:15" x14ac:dyDescent="0.3">
      <c r="C47" s="1" t="s">
        <v>12</v>
      </c>
    </row>
    <row r="48" spans="2:15" x14ac:dyDescent="0.3">
      <c r="C48" s="1" t="s">
        <v>11</v>
      </c>
    </row>
    <row r="49" spans="3:3" x14ac:dyDescent="0.3">
      <c r="C49" s="1" t="s">
        <v>10</v>
      </c>
    </row>
    <row r="51" spans="3:3" x14ac:dyDescent="0.3">
      <c r="C51" s="2" t="s">
        <v>9</v>
      </c>
    </row>
    <row r="52" spans="3:3" x14ac:dyDescent="0.3">
      <c r="C52" s="2" t="s">
        <v>8</v>
      </c>
    </row>
    <row r="53" spans="3:3" x14ac:dyDescent="0.3">
      <c r="C53" s="2" t="s">
        <v>7</v>
      </c>
    </row>
    <row r="54" spans="3:3" x14ac:dyDescent="0.3">
      <c r="C54" s="2" t="s">
        <v>6</v>
      </c>
    </row>
    <row r="55" spans="3:3" x14ac:dyDescent="0.3">
      <c r="C55" s="2" t="s">
        <v>5</v>
      </c>
    </row>
  </sheetData>
  <hyperlinks>
    <hyperlink ref="C52" r:id="rId1" xr:uid="{00000000-0004-0000-0300-000000000000}"/>
    <hyperlink ref="C51" r:id="rId2" xr:uid="{00000000-0004-0000-0300-000001000000}"/>
    <hyperlink ref="C53" r:id="rId3" xr:uid="{00000000-0004-0000-0300-000002000000}"/>
    <hyperlink ref="C54" r:id="rId4" xr:uid="{00000000-0004-0000-0300-000003000000}"/>
    <hyperlink ref="C55" r:id="rId5" xr:uid="{00000000-0004-0000-0300-000004000000}"/>
  </hyperlinks>
  <pageMargins left="0.7" right="0.7" top="0.75" bottom="0.75" header="0.3" footer="0.3"/>
  <pageSetup orientation="portrait" horizontalDpi="0" verticalDpi="0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998c5f-b1f9-431a-a973-8432d14e9b4f">
      <Terms xmlns="http://schemas.microsoft.com/office/infopath/2007/PartnerControls"/>
    </lcf76f155ced4ddcb4097134ff3c332f>
    <TaxCatchAll xmlns="d5ef5716-c527-4ecb-8253-eff44b4ddd4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5219D10F34B54A9A79442E707B718A" ma:contentTypeVersion="15" ma:contentTypeDescription="Create a new document." ma:contentTypeScope="" ma:versionID="739555b839244ef2f4bbdc76e1f7ebc9">
  <xsd:schema xmlns:xsd="http://www.w3.org/2001/XMLSchema" xmlns:xs="http://www.w3.org/2001/XMLSchema" xmlns:p="http://schemas.microsoft.com/office/2006/metadata/properties" xmlns:ns1="http://schemas.microsoft.com/sharepoint/v3" xmlns:ns2="14998c5f-b1f9-431a-a973-8432d14e9b4f" xmlns:ns3="d5ef5716-c527-4ecb-8253-eff44b4ddd4e" targetNamespace="http://schemas.microsoft.com/office/2006/metadata/properties" ma:root="true" ma:fieldsID="532b9b377ff9a05da30b2020f8712c50" ns1:_="" ns2:_="" ns3:_="">
    <xsd:import namespace="http://schemas.microsoft.com/sharepoint/v3"/>
    <xsd:import namespace="14998c5f-b1f9-431a-a973-8432d14e9b4f"/>
    <xsd:import namespace="d5ef5716-c527-4ecb-8253-eff44b4ddd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998c5f-b1f9-431a-a973-8432d14e9b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1903b3-7eb5-43bb-95d6-6a0c98ce77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5716-c527-4ecb-8253-eff44b4ddd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9d68da1-427f-4edf-b949-a8b27f677e7a}" ma:internalName="TaxCatchAll" ma:showField="CatchAllData" ma:web="d5ef5716-c527-4ecb-8253-eff44b4ddd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AEF1CB-A4B2-45FD-BEAD-CD7CAAC0E5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C3AA7C-5EDE-4F93-9CF4-5541594F1992}">
  <ds:schemaRefs>
    <ds:schemaRef ds:uri="http://schemas.microsoft.com/office/2006/metadata/properties"/>
    <ds:schemaRef ds:uri="http://schemas.microsoft.com/office/infopath/2007/PartnerControls"/>
    <ds:schemaRef ds:uri="14998c5f-b1f9-431a-a973-8432d14e9b4f"/>
    <ds:schemaRef ds:uri="d5ef5716-c527-4ecb-8253-eff44b4ddd4e"/>
  </ds:schemaRefs>
</ds:datastoreItem>
</file>

<file path=customXml/itemProps3.xml><?xml version="1.0" encoding="utf-8"?>
<ds:datastoreItem xmlns:ds="http://schemas.openxmlformats.org/officeDocument/2006/customXml" ds:itemID="{692021CC-95DF-4F96-9801-FAB71598A8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TOC</vt:lpstr>
      <vt:lpstr>T6.304.1</vt:lpstr>
      <vt:lpstr>T6.304.2</vt:lpstr>
      <vt:lpstr>T6.305.1</vt:lpstr>
      <vt:lpstr>T6.307.1</vt:lpstr>
      <vt:lpstr>T6.307.2</vt:lpstr>
      <vt:lpstr>PD concepts--summary--Notes</vt:lpstr>
      <vt:lpstr>PD terminology (GARP17-p2-6-v2)</vt:lpstr>
      <vt:lpstr>___INDEX_SHEET___ASAP_Utilities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Nicole Seaman</cp:lastModifiedBy>
  <dcterms:created xsi:type="dcterms:W3CDTF">2013-04-09T03:41:37Z</dcterms:created>
  <dcterms:modified xsi:type="dcterms:W3CDTF">2025-01-27T20:24:10Z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0x010100095219D10F34B54A9A79442E707B718A</vt:lpwstr>
  </property>
  <property fmtid="{D5CDD505-2E9C-101B-9397-08002B2CF9AE}" pid="3" name="MediaServiceImageTags">
    <vt:lpwstr/>
  </property>
</Properties>
</file>